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lakás adatok" sheetId="1" r:id="rId1"/>
  </sheets>
  <definedNames>
    <definedName name="_xlnm.Print_Area" localSheetId="0">'lakás adatok'!$A$1:$S$108</definedName>
  </definedNames>
  <calcPr fullCalcOnLoad="1"/>
</workbook>
</file>

<file path=xl/sharedStrings.xml><?xml version="1.0" encoding="utf-8"?>
<sst xmlns="http://schemas.openxmlformats.org/spreadsheetml/2006/main" count="236" uniqueCount="150">
  <si>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</si>
  <si>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</si>
  <si>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</si>
  <si>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</si>
  <si>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</si>
  <si>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</si>
  <si>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</si>
  <si>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</si>
  <si>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</si>
  <si>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</si>
  <si>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</si>
  <si>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</si>
  <si>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</si>
  <si>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</si>
  <si>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</si>
  <si>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</si>
  <si>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</si>
  <si>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</si>
  <si>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</si>
  <si>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</si>
  <si>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</si>
  <si>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</si>
  <si>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</si>
  <si>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</si>
  <si>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</si>
  <si>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Fodrászat</t>
  </si>
  <si>
    <t>Fogorvos</t>
  </si>
  <si>
    <t>I. ÜTEM</t>
  </si>
  <si>
    <t>Kozmetika</t>
  </si>
  <si>
    <t>Könyvtár</t>
  </si>
  <si>
    <t>Könyvesbolt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</si>
  <si>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</si>
  <si>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</si>
  <si>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</si>
  <si>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</si>
  <si>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</si>
  <si>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</si>
  <si>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</si>
  <si>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</si>
  <si>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</si>
  <si>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</si>
  <si>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</si>
  <si>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</si>
  <si>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</si>
  <si>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</si>
  <si>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</si>
  <si>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</si>
  <si>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</si>
  <si>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</si>
  <si>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</si>
  <si>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</si>
  <si>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</si>
  <si>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</si>
  <si>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Pedi Stúdió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</si>
  <si>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</si>
  <si>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</si>
  <si>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</si>
  <si>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</si>
  <si>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</si>
  <si>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</si>
  <si>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</si>
  <si>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</si>
  <si>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</si>
  <si>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</si>
  <si>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</si>
  <si>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</si>
  <si>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Hődíj :</t>
  </si>
  <si>
    <t>Hőfelhasználás</t>
  </si>
  <si>
    <t>MÉRT Hőfogyasztások</t>
  </si>
  <si>
    <t>ADATOK</t>
  </si>
  <si>
    <t xml:space="preserve">légtérre fajlagos 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</si>
  <si>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</si>
  <si>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</si>
  <si>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</si>
  <si>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</si>
  <si>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</si>
  <si>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</si>
  <si>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</si>
  <si>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</si>
  <si>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</si>
  <si>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</si>
  <si>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</si>
  <si>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</si>
  <si>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</si>
  <si>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</si>
  <si>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</si>
  <si>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</si>
  <si>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</si>
  <si>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</si>
  <si>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</si>
  <si>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</si>
  <si>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</si>
  <si>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</si>
  <si>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</si>
  <si>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</si>
  <si>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</si>
  <si>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</si>
  <si>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</si>
  <si>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</si>
  <si>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</si>
  <si>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</si>
  <si>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</si>
  <si>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</si>
  <si>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</si>
  <si>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</si>
  <si>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</si>
  <si>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</si>
  <si>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</si>
  <si>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</si>
  <si>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MJ/m3</t>
  </si>
  <si>
    <t>Lakásszám :</t>
  </si>
  <si>
    <t>A föltüntetett árak a fogyasztások hődíját tartalmazzák !</t>
  </si>
  <si>
    <t>kétcsöves termoszelepes</t>
  </si>
  <si>
    <r>
      <t>R   (M,N,O)</t>
    </r>
  </si>
  <si>
    <t>Üzleti, egyéb</t>
  </si>
  <si>
    <t>Lakások légtere :</t>
  </si>
  <si>
    <t>Hőközpontok száma :</t>
  </si>
  <si>
    <t>műszaki változás, jellemzők</t>
  </si>
  <si>
    <t>laká-sok száma</t>
  </si>
  <si>
    <t>KK-i intéz-mények</t>
  </si>
  <si>
    <t>hőszigetelés</t>
  </si>
  <si>
    <r>
      <t>m</t>
    </r>
    <r>
      <rPr>
        <b/>
        <vertAlign val="superscript"/>
        <sz val="36"/>
        <rFont val="Arial"/>
        <family val="2"/>
      </rPr>
      <t>3</t>
    </r>
  </si>
  <si>
    <t>Központi Költségvetési Intézmények légtere :</t>
  </si>
  <si>
    <t>Üzleti és egyéb nem lakások légtere :</t>
  </si>
  <si>
    <t>termofejes szelep új hőcserélő</t>
  </si>
  <si>
    <t>HŐKÖZPONT betűJELE</t>
  </si>
  <si>
    <t>Szmolnyica sétány 7. (garázs)</t>
  </si>
  <si>
    <t>Fűtött légtérfogat összesen :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</si>
  <si>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</si>
  <si>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</si>
  <si>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</si>
  <si>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</si>
  <si>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Lakossági fogyasztók :</t>
  </si>
  <si>
    <t>Nem lakossági fogyasztók :</t>
  </si>
  <si>
    <t>KKI-k :</t>
  </si>
  <si>
    <t>Uszoda :</t>
  </si>
  <si>
    <t>Üzleti, egyéb :</t>
  </si>
  <si>
    <t>HŐFOGYASZTÁSOK ÖSSZESEN :</t>
  </si>
  <si>
    <t>Fajlagos hőfogyasztások:</t>
  </si>
  <si>
    <t>Egyedi szerződéssel (tél 1, nyár 0,5)</t>
  </si>
  <si>
    <t>Óvoda (almérő 2) Konténer</t>
  </si>
  <si>
    <r>
      <t>A nem lakossági fogyasztóknál számlázni kell az energia adót is :   93</t>
    </r>
    <r>
      <rPr>
        <b/>
        <sz val="48"/>
        <rFont val="Arial"/>
        <family val="2"/>
      </rPr>
      <t>,50 Ft/GJ</t>
    </r>
  </si>
  <si>
    <t xml:space="preserve"> 15/7 </t>
  </si>
  <si>
    <t xml:space="preserve">Károly utca 12./11. </t>
  </si>
  <si>
    <t xml:space="preserve">Fehérvíz 24/4 </t>
  </si>
  <si>
    <t xml:space="preserve">Fehérvíz 20/2 </t>
  </si>
  <si>
    <t xml:space="preserve">Radnóti 8. </t>
  </si>
  <si>
    <t xml:space="preserve">Radnóti u. 6./7. </t>
  </si>
  <si>
    <t xml:space="preserve">Radnóti u. 1/7 </t>
  </si>
  <si>
    <t>2018. Október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</si>
</sst>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#,##0.00000"/>
    <numFmt numFmtId="169" formatCode="0.0000"/>
    <numFmt numFmtId="170" formatCode="0.00000%"/>
    <numFmt numFmtId="171" formatCode="General_)"/>
    <numFmt numFmtId="172" formatCode="0.00_)"/>
    <numFmt numFmtId="173" formatCode="0_)"/>
    <numFmt numFmtId="174" formatCode="#,##0.00\ &quot;Ft&quot;"/>
    <numFmt numFmtId="175" formatCode="#,##0\ &quot;Ft&quot;"/>
    <numFmt numFmtId="176" formatCode="0.0%"/>
    <numFmt numFmtId="177" formatCode="_-* #,##0.000\ _F_t_-;\-* #,##0.000\ _F_t_-;_-* &quot;-&quot;??\ _F_t_-;_-@_-"/>
    <numFmt numFmtId="178" formatCode="_(* #,##0_);_(* \(#,##0\);_(* &quot;-&quot;??_);_(@_)"/>
    <numFmt numFmtId="179" formatCode="#,##0_ ;[Red]\-#,##0\ "/>
    <numFmt numFmtId="180" formatCode="0.000"/>
    <numFmt numFmtId="181" formatCode="#,##0.0000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000"/>
    <numFmt numFmtId="191" formatCode="0.00000"/>
    <numFmt numFmtId="192" formatCode="0.0000000"/>
    <numFmt numFmtId="193" formatCode="0.0000000000"/>
    <numFmt numFmtId="194" formatCode="0.000000000"/>
    <numFmt numFmtId="195" formatCode="0.00000000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m/d"/>
    <numFmt numFmtId="205" formatCode="#,##0.000"/>
    <numFmt numFmtId="206" formatCode="#,##0.0000000000"/>
    <numFmt numFmtId="207" formatCode="#,##0.000000000"/>
    <numFmt numFmtId="208" formatCode="#,##0.00000000"/>
    <numFmt numFmtId="209" formatCode="#,##0.0\ &quot;Ft&quot;"/>
    <numFmt numFmtId="210" formatCode="_-* #,##0\ &quot;Ft&quot;_-;\-* #,##0\ &quot;Ft&quot;_-;_-* &quot;-&quot;??\ &quot;Ft&quot;_-;_-@_-"/>
    <numFmt numFmtId="211" formatCode="0.000%"/>
    <numFmt numFmtId="212" formatCode="0.0000%"/>
    <numFmt numFmtId="213" formatCode="&quot;Igen&quot;;&quot;Igen&quot;;&quot;Nem&quot;"/>
    <numFmt numFmtId="214" formatCode="&quot;Igaz&quot;;&quot;Igaz&quot;;&quot;Hamis&quot;"/>
    <numFmt numFmtId="215" formatCode="&quot;Be&quot;;&quot;Be&quot;;&quot;Ki&quot;"/>
    <numFmt numFmtId="216" formatCode="[$€-2]\ #\ ##,000_);[Red]\([$€-2]\ #\ ##,000\)"/>
    <numFmt numFmtId="217" formatCode="_-* #,##0.0\ _F_t_-;\-* #,##0.0\ _F_t_-;_-* &quot;-&quot;??\ _F_t_-;_-@_-"/>
    <numFmt numFmtId="218" formatCode="_-* #,##0\ _F_t_-;\-* #,##0\ _F_t_-;_-* &quot;-&quot;??\ _F_t_-;_-@_-"/>
    <numFmt numFmtId="219" formatCode="[$-F400]h:mm:ss\ AM/PM"/>
  </numFmts>
  <fonts count="60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b/>
      <vertAlign val="superscript"/>
      <sz val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/>
    </xf>
    <xf numFmtId="0" fontId="6" fillId="35" borderId="20" xfId="0" applyFont="1" applyFill="1" applyBorder="1" applyAlignment="1">
      <alignment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4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3" fontId="14" fillId="0" borderId="2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3" fontId="19" fillId="36" borderId="27" xfId="0" applyNumberFormat="1" applyFont="1" applyFill="1" applyBorder="1" applyAlignment="1">
      <alignment horizontal="right" vertical="center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205" fontId="13" fillId="0" borderId="16" xfId="0" applyNumberFormat="1" applyFont="1" applyBorder="1" applyAlignment="1">
      <alignment horizontal="center"/>
    </xf>
    <xf numFmtId="205" fontId="13" fillId="0" borderId="18" xfId="0" applyNumberFormat="1" applyFont="1" applyBorder="1" applyAlignment="1">
      <alignment horizontal="center"/>
    </xf>
    <xf numFmtId="205" fontId="13" fillId="0" borderId="14" xfId="0" applyNumberFormat="1" applyFont="1" applyBorder="1" applyAlignment="1">
      <alignment horizontal="center"/>
    </xf>
    <xf numFmtId="205" fontId="13" fillId="0" borderId="15" xfId="0" applyNumberFormat="1" applyFont="1" applyBorder="1" applyAlignment="1">
      <alignment horizontal="center"/>
    </xf>
    <xf numFmtId="205" fontId="18" fillId="0" borderId="18" xfId="0" applyNumberFormat="1" applyFont="1" applyBorder="1" applyAlignment="1">
      <alignment horizontal="center"/>
    </xf>
    <xf numFmtId="205" fontId="13" fillId="0" borderId="10" xfId="0" applyNumberFormat="1" applyFont="1" applyBorder="1" applyAlignment="1">
      <alignment horizontal="center"/>
    </xf>
    <xf numFmtId="205" fontId="13" fillId="36" borderId="26" xfId="0" applyNumberFormat="1" applyFont="1" applyFill="1" applyBorder="1" applyAlignment="1">
      <alignment horizontal="center" vertical="center"/>
    </xf>
    <xf numFmtId="205" fontId="13" fillId="0" borderId="25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37" borderId="29" xfId="0" applyFont="1" applyFill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9" xfId="0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8" fillId="36" borderId="0" xfId="0" applyFont="1" applyFill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43" xfId="0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41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8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49" xfId="0" applyFont="1" applyBorder="1" applyAlignment="1">
      <alignment horizontal="right" vertical="center"/>
    </xf>
    <xf numFmtId="4" fontId="13" fillId="0" borderId="49" xfId="0" applyNumberFormat="1" applyFont="1" applyBorder="1" applyAlignment="1">
      <alignment vertical="center"/>
    </xf>
    <xf numFmtId="0" fontId="9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right" vertical="center"/>
    </xf>
    <xf numFmtId="205" fontId="13" fillId="0" borderId="17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5" fillId="0" borderId="51" xfId="0" applyFont="1" applyBorder="1" applyAlignment="1">
      <alignment horizontal="right"/>
    </xf>
    <xf numFmtId="4" fontId="18" fillId="0" borderId="52" xfId="0" applyNumberFormat="1" applyFont="1" applyBorder="1" applyAlignment="1">
      <alignment horizontal="right"/>
    </xf>
    <xf numFmtId="3" fontId="14" fillId="0" borderId="52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13" fillId="0" borderId="0" xfId="0" applyFont="1" applyAlignment="1">
      <alignment horizontal="left"/>
    </xf>
    <xf numFmtId="205" fontId="14" fillId="0" borderId="14" xfId="0" applyNumberFormat="1" applyFont="1" applyBorder="1" applyAlignment="1">
      <alignment horizontal="right"/>
    </xf>
    <xf numFmtId="205" fontId="14" fillId="0" borderId="11" xfId="0" applyNumberFormat="1" applyFont="1" applyBorder="1" applyAlignment="1">
      <alignment horizontal="right"/>
    </xf>
    <xf numFmtId="205" fontId="18" fillId="0" borderId="18" xfId="0" applyNumberFormat="1" applyFont="1" applyBorder="1" applyAlignment="1">
      <alignment horizontal="right" vertical="center"/>
    </xf>
    <xf numFmtId="205" fontId="18" fillId="0" borderId="55" xfId="0" applyNumberFormat="1" applyFont="1" applyBorder="1" applyAlignment="1">
      <alignment horizontal="right"/>
    </xf>
    <xf numFmtId="0" fontId="18" fillId="0" borderId="56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205" fontId="14" fillId="0" borderId="52" xfId="0" applyNumberFormat="1" applyFont="1" applyBorder="1" applyAlignment="1">
      <alignment horizontal="right"/>
    </xf>
    <xf numFmtId="205" fontId="14" fillId="0" borderId="15" xfId="0" applyNumberFormat="1" applyFont="1" applyBorder="1" applyAlignment="1">
      <alignment horizontal="right"/>
    </xf>
    <xf numFmtId="205" fontId="14" fillId="0" borderId="1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205" fontId="13" fillId="0" borderId="14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13" fillId="0" borderId="57" xfId="0" applyNumberFormat="1" applyFont="1" applyBorder="1" applyAlignment="1">
      <alignment horizontal="right"/>
    </xf>
    <xf numFmtId="205" fontId="13" fillId="0" borderId="12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right"/>
    </xf>
    <xf numFmtId="205" fontId="13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05" fontId="14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205" fontId="13" fillId="0" borderId="18" xfId="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 vertical="center"/>
    </xf>
    <xf numFmtId="205" fontId="14" fillId="0" borderId="15" xfId="0" applyNumberFormat="1" applyFont="1" applyFill="1" applyBorder="1" applyAlignment="1">
      <alignment horizontal="right"/>
    </xf>
    <xf numFmtId="205" fontId="14" fillId="0" borderId="10" xfId="0" applyNumberFormat="1" applyFont="1" applyBorder="1" applyAlignment="1">
      <alignment horizontal="right"/>
    </xf>
    <xf numFmtId="205" fontId="14" fillId="0" borderId="14" xfId="0" applyNumberFormat="1" applyFont="1" applyFill="1" applyBorder="1" applyAlignment="1">
      <alignment horizontal="right"/>
    </xf>
    <xf numFmtId="3" fontId="18" fillId="0" borderId="43" xfId="0" applyNumberFormat="1" applyFont="1" applyBorder="1" applyAlignment="1">
      <alignment horizontal="left"/>
    </xf>
    <xf numFmtId="3" fontId="18" fillId="0" borderId="58" xfId="0" applyNumberFormat="1" applyFont="1" applyBorder="1" applyAlignment="1">
      <alignment horizontal="right"/>
    </xf>
    <xf numFmtId="0" fontId="18" fillId="0" borderId="5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8" fillId="0" borderId="60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3" fontId="18" fillId="0" borderId="62" xfId="0" applyNumberFormat="1" applyFont="1" applyBorder="1" applyAlignment="1">
      <alignment horizontal="right" vertical="center"/>
    </xf>
    <xf numFmtId="205" fontId="9" fillId="0" borderId="52" xfId="0" applyNumberFormat="1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63" xfId="0" applyNumberFormat="1" applyFont="1" applyBorder="1" applyAlignment="1">
      <alignment horizontal="right" vertical="center"/>
    </xf>
    <xf numFmtId="1" fontId="18" fillId="0" borderId="52" xfId="0" applyNumberFormat="1" applyFont="1" applyBorder="1" applyAlignment="1">
      <alignment horizontal="right"/>
    </xf>
    <xf numFmtId="0" fontId="18" fillId="0" borderId="64" xfId="0" applyFont="1" applyBorder="1" applyAlignment="1">
      <alignment horizontal="center"/>
    </xf>
    <xf numFmtId="0" fontId="13" fillId="0" borderId="49" xfId="0" applyFont="1" applyBorder="1" applyAlignment="1">
      <alignment vertical="center"/>
    </xf>
    <xf numFmtId="3" fontId="18" fillId="0" borderId="65" xfId="0" applyNumberFormat="1" applyFont="1" applyBorder="1" applyAlignment="1">
      <alignment horizontal="right"/>
    </xf>
    <xf numFmtId="205" fontId="9" fillId="0" borderId="17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4" fontId="18" fillId="0" borderId="0" xfId="0" applyNumberFormat="1" applyFont="1" applyBorder="1" applyAlignment="1">
      <alignment horizontal="left" vertic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66" xfId="0" applyBorder="1" applyAlignment="1">
      <alignment/>
    </xf>
    <xf numFmtId="0" fontId="15" fillId="0" borderId="21" xfId="0" applyFont="1" applyBorder="1" applyAlignment="1">
      <alignment horizontal="left"/>
    </xf>
    <xf numFmtId="4" fontId="13" fillId="0" borderId="28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right" wrapText="1"/>
    </xf>
    <xf numFmtId="0" fontId="15" fillId="0" borderId="59" xfId="0" applyFont="1" applyBorder="1" applyAlignment="1">
      <alignment horizontal="left"/>
    </xf>
    <xf numFmtId="0" fontId="15" fillId="0" borderId="67" xfId="0" applyFont="1" applyBorder="1" applyAlignment="1">
      <alignment horizontal="left"/>
    </xf>
    <xf numFmtId="0" fontId="5" fillId="0" borderId="68" xfId="0" applyFont="1" applyBorder="1" applyAlignment="1">
      <alignment horizontal="right"/>
    </xf>
    <xf numFmtId="4" fontId="13" fillId="0" borderId="68" xfId="0" applyNumberFormat="1" applyFont="1" applyBorder="1" applyAlignment="1">
      <alignment horizontal="right"/>
    </xf>
    <xf numFmtId="3" fontId="18" fillId="38" borderId="52" xfId="0" applyNumberFormat="1" applyFont="1" applyFill="1" applyBorder="1" applyAlignment="1">
      <alignment horizontal="right"/>
    </xf>
    <xf numFmtId="4" fontId="59" fillId="0" borderId="30" xfId="0" applyNumberFormat="1" applyFont="1" applyFill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14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167" fontId="23" fillId="0" borderId="12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vertical="center"/>
    </xf>
    <xf numFmtId="3" fontId="23" fillId="0" borderId="18" xfId="0" applyNumberFormat="1" applyFont="1" applyFill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167" fontId="18" fillId="0" borderId="59" xfId="0" applyNumberFormat="1" applyFont="1" applyBorder="1" applyAlignment="1">
      <alignment horizontal="right"/>
    </xf>
    <xf numFmtId="167" fontId="18" fillId="0" borderId="52" xfId="0" applyNumberFormat="1" applyFont="1" applyBorder="1" applyAlignment="1">
      <alignment horizontal="right"/>
    </xf>
    <xf numFmtId="167" fontId="18" fillId="0" borderId="17" xfId="0" applyNumberFormat="1" applyFont="1" applyBorder="1" applyAlignment="1">
      <alignment horizontal="right"/>
    </xf>
    <xf numFmtId="0" fontId="9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4" fontId="18" fillId="0" borderId="69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" fontId="18" fillId="0" borderId="54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72" xfId="0" applyFont="1" applyBorder="1" applyAlignment="1">
      <alignment vertical="center" wrapText="1"/>
    </xf>
    <xf numFmtId="0" fontId="13" fillId="0" borderId="73" xfId="0" applyFont="1" applyBorder="1" applyAlignment="1">
      <alignment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4" fontId="18" fillId="0" borderId="53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8" fillId="0" borderId="7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9" fillId="0" borderId="66" xfId="0" applyFont="1" applyBorder="1" applyAlignment="1">
      <alignment horizontal="center" vertical="center" wrapText="1"/>
    </xf>
    <xf numFmtId="0" fontId="8" fillId="0" borderId="75" xfId="0" applyFont="1" applyBorder="1" applyAlignment="1">
      <alignment vertical="center" wrapText="1"/>
    </xf>
    <xf numFmtId="0" fontId="13" fillId="0" borderId="50" xfId="0" applyFont="1" applyBorder="1" applyAlignment="1">
      <alignment horizontal="center" vertical="center" textRotation="53" wrapText="1"/>
    </xf>
    <xf numFmtId="0" fontId="0" fillId="0" borderId="53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0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77" xfId="0" applyBorder="1" applyAlignment="1">
      <alignment vertical="center"/>
    </xf>
    <xf numFmtId="3" fontId="23" fillId="0" borderId="13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0" fontId="13" fillId="37" borderId="68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4" fontId="18" fillId="0" borderId="21" xfId="0" applyNumberFormat="1" applyFont="1" applyBorder="1" applyAlignment="1">
      <alignment horizontal="center" vertical="center"/>
    </xf>
    <xf numFmtId="4" fontId="18" fillId="0" borderId="7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18" fillId="0" borderId="7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9" fillId="0" borderId="71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 textRotation="90" wrapText="1"/>
    </xf>
    <xf numFmtId="0" fontId="6" fillId="35" borderId="51" xfId="0" applyFont="1" applyFill="1" applyBorder="1" applyAlignment="1">
      <alignment textRotation="90"/>
    </xf>
    <xf numFmtId="4" fontId="4" fillId="35" borderId="61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68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3" fontId="23" fillId="0" borderId="17" xfId="0" applyNumberFormat="1" applyFont="1" applyBorder="1" applyAlignment="1">
      <alignment horizontal="right" vertical="center"/>
    </xf>
    <xf numFmtId="4" fontId="7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" fontId="7" fillId="0" borderId="50" xfId="0" applyNumberFormat="1" applyFont="1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13" fillId="37" borderId="51" xfId="0" applyFont="1" applyFill="1" applyBorder="1" applyAlignment="1">
      <alignment horizontal="right" vertical="center"/>
    </xf>
    <xf numFmtId="0" fontId="13" fillId="37" borderId="64" xfId="0" applyFont="1" applyFill="1" applyBorder="1" applyAlignment="1">
      <alignment horizontal="right" vertical="center"/>
    </xf>
    <xf numFmtId="0" fontId="10" fillId="39" borderId="60" xfId="0" applyFont="1" applyFill="1" applyBorder="1" applyAlignment="1">
      <alignment horizontal="center" vertical="center" textRotation="90"/>
    </xf>
    <xf numFmtId="0" fontId="10" fillId="39" borderId="51" xfId="0" applyFont="1" applyFill="1" applyBorder="1" applyAlignment="1">
      <alignment textRotation="90"/>
    </xf>
    <xf numFmtId="0" fontId="0" fillId="39" borderId="51" xfId="0" applyFill="1" applyBorder="1" applyAlignment="1">
      <alignment textRotation="90"/>
    </xf>
    <xf numFmtId="0" fontId="0" fillId="39" borderId="20" xfId="0" applyFill="1" applyBorder="1" applyAlignment="1">
      <alignment textRotation="90"/>
    </xf>
    <xf numFmtId="0" fontId="5" fillId="33" borderId="51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0" fillId="0" borderId="69" xfId="0" applyBorder="1" applyAlignment="1">
      <alignment horizontal="right"/>
    </xf>
    <xf numFmtId="4" fontId="18" fillId="0" borderId="41" xfId="0" applyNumberFormat="1" applyFont="1" applyBorder="1" applyAlignment="1">
      <alignment horizontal="right" vertical="center"/>
    </xf>
    <xf numFmtId="4" fontId="18" fillId="0" borderId="44" xfId="0" applyNumberFormat="1" applyFont="1" applyBorder="1" applyAlignment="1">
      <alignment horizontal="right" vertical="center"/>
    </xf>
    <xf numFmtId="4" fontId="18" fillId="0" borderId="47" xfId="0" applyNumberFormat="1" applyFont="1" applyBorder="1" applyAlignment="1">
      <alignment horizontal="right" vertical="center"/>
    </xf>
    <xf numFmtId="0" fontId="12" fillId="36" borderId="20" xfId="0" applyFont="1" applyFill="1" applyBorder="1" applyAlignment="1">
      <alignment horizontal="left" vertical="center"/>
    </xf>
    <xf numFmtId="0" fontId="8" fillId="36" borderId="75" xfId="0" applyFont="1" applyFill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0" fontId="16" fillId="0" borderId="47" xfId="0" applyFont="1" applyBorder="1" applyAlignment="1">
      <alignment vertical="center"/>
    </xf>
    <xf numFmtId="0" fontId="14" fillId="0" borderId="79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0" fillId="39" borderId="72" xfId="0" applyFill="1" applyBorder="1" applyAlignment="1">
      <alignment/>
    </xf>
    <xf numFmtId="4" fontId="18" fillId="0" borderId="19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0" fillId="0" borderId="52" xfId="0" applyBorder="1" applyAlignment="1">
      <alignment horizontal="right"/>
    </xf>
    <xf numFmtId="0" fontId="0" fillId="0" borderId="17" xfId="0" applyBorder="1" applyAlignment="1">
      <alignment horizontal="right"/>
    </xf>
    <xf numFmtId="4" fontId="9" fillId="0" borderId="7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4" fillId="0" borderId="72" xfId="0" applyFont="1" applyBorder="1" applyAlignment="1">
      <alignment horizontal="right" vertical="center" wrapText="1"/>
    </xf>
    <xf numFmtId="0" fontId="0" fillId="0" borderId="72" xfId="0" applyBorder="1" applyAlignment="1">
      <alignment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3" fontId="18" fillId="0" borderId="81" xfId="0" applyNumberFormat="1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3" fontId="18" fillId="0" borderId="74" xfId="0" applyNumberFormat="1" applyFont="1" applyBorder="1" applyAlignment="1">
      <alignment horizontal="center" vertical="center" wrapText="1"/>
    </xf>
    <xf numFmtId="3" fontId="17" fillId="0" borderId="41" xfId="0" applyNumberFormat="1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49" xfId="0" applyFont="1" applyBorder="1" applyAlignment="1">
      <alignment horizontal="right"/>
    </xf>
    <xf numFmtId="0" fontId="0" fillId="0" borderId="68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05" fontId="13" fillId="0" borderId="13" xfId="0" applyNumberFormat="1" applyFont="1" applyBorder="1" applyAlignment="1">
      <alignment horizontal="center" vertical="center"/>
    </xf>
    <xf numFmtId="205" fontId="13" fillId="0" borderId="17" xfId="0" applyNumberFormat="1" applyFont="1" applyBorder="1" applyAlignment="1">
      <alignment horizontal="center" vertical="center"/>
    </xf>
    <xf numFmtId="3" fontId="23" fillId="0" borderId="52" xfId="0" applyNumberFormat="1" applyFont="1" applyBorder="1" applyAlignment="1">
      <alignment horizontal="right" vertical="center"/>
    </xf>
    <xf numFmtId="0" fontId="4" fillId="35" borderId="72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6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10" fillId="40" borderId="61" xfId="0" applyFont="1" applyFill="1" applyBorder="1" applyAlignment="1">
      <alignment horizontal="center" vertical="center"/>
    </xf>
    <xf numFmtId="0" fontId="11" fillId="40" borderId="61" xfId="0" applyFont="1" applyFill="1" applyBorder="1" applyAlignment="1">
      <alignment/>
    </xf>
    <xf numFmtId="0" fontId="10" fillId="40" borderId="60" xfId="0" applyFont="1" applyFill="1" applyBorder="1" applyAlignment="1">
      <alignment vertical="center" textRotation="90"/>
    </xf>
    <xf numFmtId="0" fontId="10" fillId="40" borderId="51" xfId="0" applyFont="1" applyFill="1" applyBorder="1" applyAlignment="1">
      <alignment textRotation="90"/>
    </xf>
    <xf numFmtId="0" fontId="0" fillId="0" borderId="20" xfId="0" applyBorder="1" applyAlignment="1">
      <alignment textRotation="90"/>
    </xf>
    <xf numFmtId="0" fontId="9" fillId="0" borderId="7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40" borderId="72" xfId="0" applyFill="1" applyBorder="1" applyAlignment="1">
      <alignment/>
    </xf>
    <xf numFmtId="0" fontId="0" fillId="33" borderId="68" xfId="0" applyFill="1" applyBorder="1" applyAlignment="1">
      <alignment horizontal="right"/>
    </xf>
    <xf numFmtId="0" fontId="0" fillId="33" borderId="52" xfId="0" applyFill="1" applyBorder="1" applyAlignment="1">
      <alignment horizontal="right"/>
    </xf>
    <xf numFmtId="0" fontId="14" fillId="0" borderId="83" xfId="0" applyFont="1" applyBorder="1" applyAlignment="1">
      <alignment horizontal="left" vertical="center"/>
    </xf>
    <xf numFmtId="0" fontId="14" fillId="0" borderId="65" xfId="0" applyFont="1" applyBorder="1" applyAlignment="1">
      <alignment vertical="center"/>
    </xf>
    <xf numFmtId="4" fontId="7" fillId="40" borderId="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9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right"/>
    </xf>
    <xf numFmtId="3" fontId="9" fillId="36" borderId="27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vertical="center"/>
    </xf>
    <xf numFmtId="4" fontId="7" fillId="0" borderId="74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8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4" fillId="39" borderId="61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23" fillId="0" borderId="68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4" fontId="18" fillId="0" borderId="87" xfId="0" applyNumberFormat="1" applyFont="1" applyBorder="1" applyAlignment="1">
      <alignment horizontal="right" vertical="center"/>
    </xf>
    <xf numFmtId="4" fontId="18" fillId="0" borderId="88" xfId="0" applyNumberFormat="1" applyFont="1" applyBorder="1" applyAlignment="1">
      <alignment horizontal="right" vertical="center"/>
    </xf>
    <xf numFmtId="4" fontId="18" fillId="0" borderId="89" xfId="0" applyNumberFormat="1" applyFont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0" fillId="34" borderId="52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205" fontId="13" fillId="0" borderId="6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8" fillId="0" borderId="90" xfId="0" applyNumberFormat="1" applyFont="1" applyBorder="1" applyAlignment="1">
      <alignment horizontal="right" vertical="center"/>
    </xf>
    <xf numFmtId="4" fontId="18" fillId="0" borderId="85" xfId="0" applyNumberFormat="1" applyFont="1" applyBorder="1" applyAlignment="1">
      <alignment horizontal="right" vertical="center"/>
    </xf>
    <xf numFmtId="4" fontId="18" fillId="0" borderId="91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39" borderId="92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18" fillId="0" borderId="71" xfId="0" applyFont="1" applyBorder="1" applyAlignment="1">
      <alignment horizontal="center" vertical="center"/>
    </xf>
    <xf numFmtId="0" fontId="12" fillId="36" borderId="7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tabSelected="1" view="pageBreakPreview" zoomScale="20" zoomScaleNormal="20" zoomScaleSheetLayoutView="20" workbookViewId="0" topLeftCell="A85">
      <selection activeCell="N79" sqref="N7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6" customWidth="1"/>
    <col min="5" max="5" width="58.140625" style="6" customWidth="1"/>
    <col min="6" max="6" width="66.421875" style="6" customWidth="1"/>
    <col min="7" max="7" width="26.28125" style="1" customWidth="1"/>
    <col min="8" max="8" width="7.8515625" style="4" customWidth="1"/>
    <col min="9" max="9" width="1.8515625" style="4" customWidth="1"/>
    <col min="10" max="10" width="2.7109375" style="4" customWidth="1"/>
    <col min="11" max="11" width="1.7109375" style="4" customWidth="1"/>
    <col min="12" max="12" width="3.140625" style="4" customWidth="1"/>
    <col min="13" max="13" width="46.28125" style="5" customWidth="1"/>
    <col min="14" max="14" width="54.7109375" style="5" customWidth="1"/>
    <col min="15" max="15" width="50.7109375" style="5" customWidth="1"/>
    <col min="16" max="16" width="86.140625" style="20" customWidth="1"/>
    <col min="17" max="17" width="55.00390625" style="20" customWidth="1"/>
    <col min="18" max="18" width="55.57421875" style="20" customWidth="1"/>
    <col min="19" max="19" width="70.7109375" style="5" customWidth="1"/>
  </cols>
  <sheetData>
    <row r="1" ht="5.25" customHeight="1">
      <c r="I1" s="28"/>
    </row>
    <row r="2" ht="4.5" customHeight="1" thickBot="1"/>
    <row r="3" spans="2:19" s="8" customFormat="1" ht="75" customHeight="1" thickBot="1">
      <c r="B3" s="321" t="s">
        <v>149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98"/>
      <c r="R3" s="208" t="s">
        <v>66</v>
      </c>
      <c r="S3" s="301">
        <v>2880.5</v>
      </c>
    </row>
    <row r="4" spans="2:19" s="7" customFormat="1" ht="12" customHeight="1" thickBot="1">
      <c r="B4" s="362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2:19" s="7" customFormat="1" ht="50.25" customHeight="1" thickBot="1">
      <c r="B5" s="370" t="s">
        <v>131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</row>
    <row r="6" spans="2:19" s="7" customFormat="1" ht="54.75" customHeight="1" thickBot="1">
      <c r="B6" s="353" t="s">
        <v>125</v>
      </c>
      <c r="C6" s="354"/>
      <c r="D6" s="371" t="s">
        <v>55</v>
      </c>
      <c r="E6" s="324" t="s">
        <v>69</v>
      </c>
      <c r="F6" s="325"/>
      <c r="G6" s="326"/>
      <c r="H6" s="326"/>
      <c r="I6" s="326"/>
      <c r="J6" s="326"/>
      <c r="K6" s="326"/>
      <c r="L6" s="326"/>
      <c r="M6" s="327"/>
      <c r="N6" s="374" t="s">
        <v>68</v>
      </c>
      <c r="O6" s="375"/>
      <c r="P6" s="375"/>
      <c r="Q6" s="375"/>
      <c r="R6" s="376"/>
      <c r="S6" s="324" t="s">
        <v>67</v>
      </c>
    </row>
    <row r="7" spans="2:19" s="7" customFormat="1" ht="65.25" customHeight="1" thickBot="1">
      <c r="B7" s="355"/>
      <c r="C7" s="356"/>
      <c r="D7" s="330"/>
      <c r="E7" s="328"/>
      <c r="F7" s="329"/>
      <c r="G7" s="329"/>
      <c r="H7" s="329"/>
      <c r="I7" s="329"/>
      <c r="J7" s="329"/>
      <c r="K7" s="329"/>
      <c r="L7" s="329"/>
      <c r="M7" s="330"/>
      <c r="N7" s="368" t="s">
        <v>62</v>
      </c>
      <c r="O7" s="369"/>
      <c r="P7" s="377" t="s">
        <v>60</v>
      </c>
      <c r="Q7" s="378"/>
      <c r="R7" s="379"/>
      <c r="S7" s="328"/>
    </row>
    <row r="8" spans="2:19" s="10" customFormat="1" ht="71.25" customHeight="1">
      <c r="B8" s="355"/>
      <c r="C8" s="356"/>
      <c r="D8" s="331" t="s">
        <v>56</v>
      </c>
      <c r="E8" s="424" t="s">
        <v>54</v>
      </c>
      <c r="F8" s="346" t="s">
        <v>117</v>
      </c>
      <c r="G8" s="351" t="s">
        <v>118</v>
      </c>
      <c r="H8" s="334" t="s">
        <v>57</v>
      </c>
      <c r="I8" s="335"/>
      <c r="J8" s="335"/>
      <c r="K8" s="335"/>
      <c r="L8" s="336"/>
      <c r="M8" s="337"/>
      <c r="N8" s="349" t="s">
        <v>61</v>
      </c>
      <c r="O8" s="344" t="s">
        <v>63</v>
      </c>
      <c r="P8" s="430" t="s">
        <v>64</v>
      </c>
      <c r="Q8" s="428" t="s">
        <v>65</v>
      </c>
      <c r="R8" s="429"/>
      <c r="S8" s="420" t="s">
        <v>70</v>
      </c>
    </row>
    <row r="9" spans="2:19" s="10" customFormat="1" ht="115.5" customHeight="1" thickBot="1">
      <c r="B9" s="355"/>
      <c r="C9" s="356"/>
      <c r="D9" s="332"/>
      <c r="E9" s="425"/>
      <c r="F9" s="347"/>
      <c r="G9" s="352"/>
      <c r="H9" s="338"/>
      <c r="I9" s="339"/>
      <c r="J9" s="339"/>
      <c r="K9" s="339"/>
      <c r="L9" s="339"/>
      <c r="M9" s="340"/>
      <c r="N9" s="350"/>
      <c r="O9" s="345"/>
      <c r="P9" s="350"/>
      <c r="Q9" s="171" t="s">
        <v>119</v>
      </c>
      <c r="R9" s="172" t="s">
        <v>114</v>
      </c>
      <c r="S9" s="421"/>
    </row>
    <row r="10" spans="2:19" s="10" customFormat="1" ht="60" customHeight="1" thickBot="1">
      <c r="B10" s="357"/>
      <c r="C10" s="358"/>
      <c r="D10" s="333"/>
      <c r="E10" s="426"/>
      <c r="F10" s="348"/>
      <c r="G10" s="170" t="s">
        <v>58</v>
      </c>
      <c r="H10" s="341" t="s">
        <v>108</v>
      </c>
      <c r="I10" s="341"/>
      <c r="J10" s="341"/>
      <c r="K10" s="341"/>
      <c r="L10" s="342"/>
      <c r="M10" s="343"/>
      <c r="N10" s="95" t="s">
        <v>59</v>
      </c>
      <c r="O10" s="96" t="s">
        <v>59</v>
      </c>
      <c r="P10" s="97" t="s">
        <v>59</v>
      </c>
      <c r="Q10" s="147" t="s">
        <v>59</v>
      </c>
      <c r="R10" s="146" t="s">
        <v>59</v>
      </c>
      <c r="S10" s="59" t="s">
        <v>109</v>
      </c>
    </row>
    <row r="11" spans="2:19" s="10" customFormat="1" ht="3.75" customHeight="1">
      <c r="B11" s="422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</row>
    <row r="12" spans="2:19" s="10" customFormat="1" ht="6" customHeight="1">
      <c r="B12" s="372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</row>
    <row r="13" spans="2:19" s="10" customFormat="1" ht="12" customHeight="1" thickBot="1">
      <c r="B13" s="380" t="s">
        <v>71</v>
      </c>
      <c r="C13" s="382" t="s">
        <v>27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</row>
    <row r="14" spans="2:19" ht="123.75" customHeight="1" thickBot="1">
      <c r="B14" s="381"/>
      <c r="C14" s="61" t="s">
        <v>0</v>
      </c>
      <c r="D14" s="62" t="s">
        <v>74</v>
      </c>
      <c r="E14" s="173" t="s">
        <v>112</v>
      </c>
      <c r="F14" s="149"/>
      <c r="G14" s="106">
        <v>41</v>
      </c>
      <c r="H14" s="388"/>
      <c r="I14" s="392"/>
      <c r="J14" s="120"/>
      <c r="K14" s="434"/>
      <c r="L14" s="121"/>
      <c r="M14" s="122">
        <v>5829.17</v>
      </c>
      <c r="N14" s="302">
        <v>1133</v>
      </c>
      <c r="O14" s="302">
        <v>1193</v>
      </c>
      <c r="P14" s="68">
        <f>O14-N14</f>
        <v>60</v>
      </c>
      <c r="Q14" s="68"/>
      <c r="R14" s="68"/>
      <c r="S14" s="112">
        <f>1000*(R14+Q14+P14)/M14</f>
        <v>10.293060590101163</v>
      </c>
    </row>
    <row r="15" spans="2:19" ht="123.75" customHeight="1" thickBot="1">
      <c r="B15" s="381"/>
      <c r="C15" s="63" t="s">
        <v>1</v>
      </c>
      <c r="D15" s="64" t="s">
        <v>75</v>
      </c>
      <c r="E15" s="174" t="s">
        <v>112</v>
      </c>
      <c r="F15" s="150"/>
      <c r="G15" s="109">
        <v>28</v>
      </c>
      <c r="H15" s="389"/>
      <c r="I15" s="393"/>
      <c r="J15" s="123"/>
      <c r="K15" s="435"/>
      <c r="L15" s="124"/>
      <c r="M15" s="125">
        <v>3979.48</v>
      </c>
      <c r="N15" s="303">
        <v>2981</v>
      </c>
      <c r="O15" s="303">
        <v>3076</v>
      </c>
      <c r="P15" s="69">
        <f>O15-N15</f>
        <v>95</v>
      </c>
      <c r="Q15" s="69"/>
      <c r="R15" s="69"/>
      <c r="S15" s="112">
        <f aca="true" t="shared" si="0" ref="S15:S20">1000*(R15+Q15+P15)/M15</f>
        <v>23.872465749293877</v>
      </c>
    </row>
    <row r="16" spans="2:19" ht="120" customHeight="1" thickBot="1">
      <c r="B16" s="381"/>
      <c r="C16" s="63" t="s">
        <v>2</v>
      </c>
      <c r="D16" s="64" t="s">
        <v>76</v>
      </c>
      <c r="E16" s="175" t="s">
        <v>112</v>
      </c>
      <c r="F16" s="150"/>
      <c r="G16" s="109">
        <v>42</v>
      </c>
      <c r="H16" s="389"/>
      <c r="I16" s="393"/>
      <c r="J16" s="126"/>
      <c r="K16" s="435"/>
      <c r="L16" s="127"/>
      <c r="M16" s="125">
        <v>5969.24</v>
      </c>
      <c r="N16" s="303">
        <v>665</v>
      </c>
      <c r="O16" s="303">
        <v>685</v>
      </c>
      <c r="P16" s="141">
        <f>O16-N16</f>
        <v>20</v>
      </c>
      <c r="Q16" s="69"/>
      <c r="R16" s="69"/>
      <c r="S16" s="112">
        <f t="shared" si="0"/>
        <v>3.350510282716058</v>
      </c>
    </row>
    <row r="17" spans="2:19" ht="112.5" customHeight="1" thickBot="1">
      <c r="B17" s="381"/>
      <c r="C17" s="63" t="s">
        <v>3</v>
      </c>
      <c r="D17" s="64" t="s">
        <v>77</v>
      </c>
      <c r="E17" s="173" t="s">
        <v>112</v>
      </c>
      <c r="F17" s="150"/>
      <c r="G17" s="109">
        <v>42</v>
      </c>
      <c r="H17" s="389"/>
      <c r="I17" s="393"/>
      <c r="J17" s="123"/>
      <c r="K17" s="435"/>
      <c r="L17" s="124"/>
      <c r="M17" s="125">
        <v>5969.22</v>
      </c>
      <c r="N17" s="303">
        <v>1040</v>
      </c>
      <c r="O17" s="303">
        <v>1090</v>
      </c>
      <c r="P17" s="141">
        <f>O17-N17</f>
        <v>50</v>
      </c>
      <c r="Q17" s="69"/>
      <c r="R17" s="69"/>
      <c r="S17" s="112">
        <f t="shared" si="0"/>
        <v>8.376303771682062</v>
      </c>
    </row>
    <row r="18" spans="2:19" ht="90" customHeight="1" thickBot="1">
      <c r="B18" s="381"/>
      <c r="C18" s="427" t="s">
        <v>4</v>
      </c>
      <c r="D18" s="66" t="s">
        <v>78</v>
      </c>
      <c r="E18" s="390" t="s">
        <v>86</v>
      </c>
      <c r="F18" s="245"/>
      <c r="G18" s="210">
        <v>42</v>
      </c>
      <c r="H18" s="389"/>
      <c r="I18" s="393"/>
      <c r="J18" s="123"/>
      <c r="K18" s="435"/>
      <c r="L18" s="124"/>
      <c r="M18" s="247">
        <v>5969.23</v>
      </c>
      <c r="N18" s="364">
        <v>1069</v>
      </c>
      <c r="O18" s="364">
        <v>1117</v>
      </c>
      <c r="P18" s="249">
        <f>SUM(O18-N18)/5969.23*M18</f>
        <v>47.99999999999999</v>
      </c>
      <c r="Q18" s="248"/>
      <c r="R18" s="248"/>
      <c r="S18" s="237">
        <f t="shared" si="0"/>
        <v>8.04123814964409</v>
      </c>
    </row>
    <row r="19" spans="2:19" ht="90" customHeight="1" thickBot="1">
      <c r="B19" s="381"/>
      <c r="C19" s="360"/>
      <c r="D19" s="66" t="s">
        <v>142</v>
      </c>
      <c r="E19" s="391"/>
      <c r="F19" s="246"/>
      <c r="G19" s="105">
        <v>0</v>
      </c>
      <c r="H19" s="389"/>
      <c r="I19" s="393"/>
      <c r="J19" s="126"/>
      <c r="K19" s="435"/>
      <c r="L19" s="127"/>
      <c r="M19" s="129"/>
      <c r="N19" s="365"/>
      <c r="O19" s="365"/>
      <c r="P19" s="71"/>
      <c r="Q19" s="71"/>
      <c r="R19" s="230">
        <f>SUM(O18-N18)/5969.23*M19</f>
        <v>0</v>
      </c>
      <c r="S19" s="115">
        <v>0</v>
      </c>
    </row>
    <row r="20" spans="2:19" s="29" customFormat="1" ht="90" customHeight="1">
      <c r="B20" s="381"/>
      <c r="C20" s="359" t="s">
        <v>5</v>
      </c>
      <c r="D20" s="239" t="s">
        <v>79</v>
      </c>
      <c r="E20" s="240" t="s">
        <v>86</v>
      </c>
      <c r="F20" s="241"/>
      <c r="G20" s="242">
        <v>28</v>
      </c>
      <c r="H20" s="389"/>
      <c r="I20" s="393"/>
      <c r="J20" s="366"/>
      <c r="K20" s="435"/>
      <c r="L20" s="383"/>
      <c r="M20" s="243">
        <v>3979.48</v>
      </c>
      <c r="N20" s="304">
        <v>427</v>
      </c>
      <c r="O20" s="304">
        <v>435</v>
      </c>
      <c r="P20" s="142">
        <f>O20-N20</f>
        <v>8</v>
      </c>
      <c r="Q20" s="142"/>
      <c r="R20" s="142"/>
      <c r="S20" s="244">
        <f t="shared" si="0"/>
        <v>2.010312905203695</v>
      </c>
    </row>
    <row r="21" spans="2:19" ht="90" customHeight="1" thickBot="1">
      <c r="B21" s="381"/>
      <c r="C21" s="360"/>
      <c r="D21" s="66" t="s">
        <v>25</v>
      </c>
      <c r="E21" s="178" t="s">
        <v>86</v>
      </c>
      <c r="F21" s="152"/>
      <c r="G21" s="105"/>
      <c r="H21" s="389"/>
      <c r="I21" s="393"/>
      <c r="J21" s="367"/>
      <c r="K21" s="435"/>
      <c r="L21" s="384"/>
      <c r="M21" s="129">
        <v>0</v>
      </c>
      <c r="N21" s="305"/>
      <c r="O21" s="305"/>
      <c r="P21" s="71"/>
      <c r="Q21" s="71"/>
      <c r="R21" s="71"/>
      <c r="S21" s="113"/>
    </row>
    <row r="22" spans="2:19" ht="90" customHeight="1">
      <c r="B22" s="381"/>
      <c r="C22" s="359" t="s">
        <v>6</v>
      </c>
      <c r="D22" s="65" t="s">
        <v>80</v>
      </c>
      <c r="E22" s="177" t="s">
        <v>86</v>
      </c>
      <c r="F22" s="151"/>
      <c r="G22" s="110">
        <v>42</v>
      </c>
      <c r="H22" s="389"/>
      <c r="I22" s="393"/>
      <c r="J22" s="385"/>
      <c r="K22" s="435"/>
      <c r="L22" s="395"/>
      <c r="M22" s="128">
        <v>5969.22</v>
      </c>
      <c r="N22" s="364">
        <v>972</v>
      </c>
      <c r="O22" s="364">
        <v>1013</v>
      </c>
      <c r="P22" s="223">
        <f>(O22-N22)/6020.92*M22</f>
        <v>40.647944168000905</v>
      </c>
      <c r="Q22" s="72"/>
      <c r="R22" s="72"/>
      <c r="S22" s="440">
        <f>(P22+Q22+R22+P23+Q23+R23)/(M22+M23)*1000</f>
        <v>6.809590560910958</v>
      </c>
    </row>
    <row r="23" spans="2:19" ht="90" customHeight="1" thickBot="1">
      <c r="B23" s="381"/>
      <c r="C23" s="361"/>
      <c r="D23" s="67" t="s">
        <v>26</v>
      </c>
      <c r="E23" s="179" t="s">
        <v>86</v>
      </c>
      <c r="F23" s="153"/>
      <c r="G23" s="111"/>
      <c r="H23" s="389"/>
      <c r="I23" s="393"/>
      <c r="J23" s="386"/>
      <c r="K23" s="436"/>
      <c r="L23" s="396"/>
      <c r="M23" s="130">
        <v>51.7</v>
      </c>
      <c r="N23" s="387"/>
      <c r="O23" s="387"/>
      <c r="P23" s="73"/>
      <c r="Q23" s="73"/>
      <c r="R23" s="224">
        <f>O22-N22-P22</f>
        <v>0.3520558319990954</v>
      </c>
      <c r="S23" s="441"/>
    </row>
    <row r="24" spans="2:19" s="2" customFormat="1" ht="90" customHeight="1" thickBot="1" thickTop="1">
      <c r="B24" s="381"/>
      <c r="C24" s="452" t="s">
        <v>83</v>
      </c>
      <c r="D24" s="453"/>
      <c r="E24" s="454"/>
      <c r="F24" s="140"/>
      <c r="G24" s="108">
        <f>SUM(G14+G15+G16+G17+G18+G20+G22)</f>
        <v>265</v>
      </c>
      <c r="H24" s="389"/>
      <c r="I24" s="394"/>
      <c r="J24" s="414">
        <f>SUM(M14:M23)</f>
        <v>37716.74</v>
      </c>
      <c r="K24" s="415"/>
      <c r="L24" s="416"/>
      <c r="M24" s="417"/>
      <c r="N24" s="91">
        <f>SUM(N14:N23)</f>
        <v>8287</v>
      </c>
      <c r="O24" s="91">
        <f>SUM(O14:O23)</f>
        <v>8609</v>
      </c>
      <c r="P24" s="225">
        <f>SUM(P14:P23)</f>
        <v>321.6479441680009</v>
      </c>
      <c r="Q24" s="92"/>
      <c r="R24" s="226">
        <f>SUM(R14:R23)</f>
        <v>0.3520558319990954</v>
      </c>
      <c r="S24" s="116">
        <f>1000*(R24+Q24+P24)/J24</f>
        <v>8.537323215102896</v>
      </c>
    </row>
    <row r="25" spans="2:19" s="2" customFormat="1" ht="19.5" customHeight="1">
      <c r="B25" s="55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</row>
    <row r="26" spans="2:19" s="2" customFormat="1" ht="15.75" customHeight="1">
      <c r="B26" s="445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</row>
    <row r="27" spans="1:19" s="7" customFormat="1" ht="18.75" customHeight="1" thickBot="1">
      <c r="A27" s="26"/>
      <c r="B27" s="449" t="s">
        <v>82</v>
      </c>
      <c r="C27" s="447" t="s">
        <v>82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</row>
    <row r="28" spans="1:19" ht="90" customHeight="1" thickBot="1">
      <c r="A28" s="17"/>
      <c r="B28" s="450"/>
      <c r="C28" s="61" t="s">
        <v>7</v>
      </c>
      <c r="D28" s="62" t="s">
        <v>81</v>
      </c>
      <c r="E28" s="181" t="s">
        <v>86</v>
      </c>
      <c r="F28" s="154"/>
      <c r="G28" s="183">
        <v>78</v>
      </c>
      <c r="H28" s="460"/>
      <c r="I28" s="392"/>
      <c r="J28" s="41"/>
      <c r="K28" s="464"/>
      <c r="L28" s="48"/>
      <c r="M28" s="122">
        <v>9826.92</v>
      </c>
      <c r="N28" s="302">
        <v>0</v>
      </c>
      <c r="O28" s="302">
        <v>208</v>
      </c>
      <c r="P28" s="68">
        <f>O28-N28</f>
        <v>208</v>
      </c>
      <c r="Q28" s="68"/>
      <c r="R28" s="68"/>
      <c r="S28" s="112">
        <f aca="true" t="shared" si="1" ref="S28:S34">1000*(R28+Q28+P28)/M28</f>
        <v>21.166347136233938</v>
      </c>
    </row>
    <row r="29" spans="1:19" ht="90" customHeight="1" thickBot="1">
      <c r="A29" s="17"/>
      <c r="B29" s="450"/>
      <c r="C29" s="63" t="s">
        <v>8</v>
      </c>
      <c r="D29" s="64" t="s">
        <v>87</v>
      </c>
      <c r="E29" s="176" t="s">
        <v>86</v>
      </c>
      <c r="F29" s="155"/>
      <c r="G29" s="184">
        <v>33</v>
      </c>
      <c r="H29" s="461"/>
      <c r="I29" s="403"/>
      <c r="J29" s="38"/>
      <c r="K29" s="438"/>
      <c r="L29" s="54"/>
      <c r="M29" s="125">
        <v>4147.21</v>
      </c>
      <c r="N29" s="303">
        <v>0</v>
      </c>
      <c r="O29" s="303">
        <v>74</v>
      </c>
      <c r="P29" s="69">
        <f aca="true" t="shared" si="2" ref="P29:P34">O29-N29</f>
        <v>74</v>
      </c>
      <c r="Q29" s="69"/>
      <c r="R29" s="69"/>
      <c r="S29" s="112">
        <f t="shared" si="1"/>
        <v>17.843321172547327</v>
      </c>
    </row>
    <row r="30" spans="1:19" ht="90" customHeight="1" thickBot="1">
      <c r="A30" s="17"/>
      <c r="B30" s="450"/>
      <c r="C30" s="63" t="s">
        <v>9</v>
      </c>
      <c r="D30" s="64" t="s">
        <v>88</v>
      </c>
      <c r="E30" s="176" t="s">
        <v>86</v>
      </c>
      <c r="F30" s="155"/>
      <c r="G30" s="184">
        <v>56</v>
      </c>
      <c r="H30" s="461"/>
      <c r="I30" s="403"/>
      <c r="J30" s="39"/>
      <c r="K30" s="438"/>
      <c r="L30" s="50"/>
      <c r="M30" s="125">
        <v>7057.53</v>
      </c>
      <c r="N30" s="303">
        <v>0</v>
      </c>
      <c r="O30" s="303">
        <v>141</v>
      </c>
      <c r="P30" s="69">
        <f t="shared" si="2"/>
        <v>141</v>
      </c>
      <c r="Q30" s="69"/>
      <c r="R30" s="69"/>
      <c r="S30" s="112">
        <f t="shared" si="1"/>
        <v>19.978661089644678</v>
      </c>
    </row>
    <row r="31" spans="1:19" ht="90" customHeight="1" thickBot="1">
      <c r="A31" s="17"/>
      <c r="B31" s="450"/>
      <c r="C31" s="63" t="s">
        <v>10</v>
      </c>
      <c r="D31" s="64" t="s">
        <v>89</v>
      </c>
      <c r="E31" s="176" t="s">
        <v>86</v>
      </c>
      <c r="F31" s="155"/>
      <c r="G31" s="184">
        <v>60</v>
      </c>
      <c r="H31" s="461"/>
      <c r="I31" s="403"/>
      <c r="J31" s="38"/>
      <c r="K31" s="438"/>
      <c r="L31" s="54"/>
      <c r="M31" s="125">
        <v>7538.85</v>
      </c>
      <c r="N31" s="303">
        <v>0</v>
      </c>
      <c r="O31" s="303">
        <v>162</v>
      </c>
      <c r="P31" s="69">
        <f t="shared" si="2"/>
        <v>162</v>
      </c>
      <c r="Q31" s="69"/>
      <c r="R31" s="69"/>
      <c r="S31" s="112">
        <f t="shared" si="1"/>
        <v>21.488688593087804</v>
      </c>
    </row>
    <row r="32" spans="1:19" ht="105" customHeight="1" thickBot="1">
      <c r="A32" s="17"/>
      <c r="B32" s="450"/>
      <c r="C32" s="63" t="s">
        <v>11</v>
      </c>
      <c r="D32" s="64" t="s">
        <v>90</v>
      </c>
      <c r="E32" s="173" t="s">
        <v>112</v>
      </c>
      <c r="F32" s="155"/>
      <c r="G32" s="184">
        <v>32</v>
      </c>
      <c r="H32" s="461"/>
      <c r="I32" s="403"/>
      <c r="J32" s="39"/>
      <c r="K32" s="438"/>
      <c r="L32" s="50"/>
      <c r="M32" s="125">
        <v>4006.13</v>
      </c>
      <c r="N32" s="303">
        <v>0</v>
      </c>
      <c r="O32" s="303">
        <v>40</v>
      </c>
      <c r="P32" s="69">
        <f t="shared" si="2"/>
        <v>40</v>
      </c>
      <c r="Q32" s="69"/>
      <c r="R32" s="69"/>
      <c r="S32" s="112">
        <f t="shared" si="1"/>
        <v>9.984698449625949</v>
      </c>
    </row>
    <row r="33" spans="1:19" ht="116.25" customHeight="1" thickBot="1">
      <c r="A33" s="17"/>
      <c r="B33" s="450"/>
      <c r="C33" s="63" t="s">
        <v>12</v>
      </c>
      <c r="D33" s="64" t="s">
        <v>91</v>
      </c>
      <c r="E33" s="173" t="s">
        <v>112</v>
      </c>
      <c r="F33" s="155"/>
      <c r="G33" s="184">
        <v>55</v>
      </c>
      <c r="H33" s="461"/>
      <c r="I33" s="403"/>
      <c r="J33" s="38"/>
      <c r="K33" s="438"/>
      <c r="L33" s="54"/>
      <c r="M33" s="125">
        <v>6916.81</v>
      </c>
      <c r="N33" s="303">
        <v>0</v>
      </c>
      <c r="O33" s="303">
        <v>91</v>
      </c>
      <c r="P33" s="69">
        <f t="shared" si="2"/>
        <v>91</v>
      </c>
      <c r="Q33" s="69"/>
      <c r="R33" s="69"/>
      <c r="S33" s="112">
        <f t="shared" si="1"/>
        <v>13.156353868329475</v>
      </c>
    </row>
    <row r="34" spans="1:19" ht="120" customHeight="1" thickBot="1">
      <c r="A34" s="17"/>
      <c r="B34" s="450"/>
      <c r="C34" s="63" t="s">
        <v>13</v>
      </c>
      <c r="D34" s="64" t="s">
        <v>92</v>
      </c>
      <c r="E34" s="173" t="s">
        <v>112</v>
      </c>
      <c r="F34" s="155"/>
      <c r="G34" s="184">
        <v>56</v>
      </c>
      <c r="H34" s="461"/>
      <c r="I34" s="403"/>
      <c r="J34" s="39"/>
      <c r="K34" s="438"/>
      <c r="L34" s="50"/>
      <c r="M34" s="125">
        <v>7057.87</v>
      </c>
      <c r="N34" s="303">
        <v>0</v>
      </c>
      <c r="O34" s="303">
        <v>12</v>
      </c>
      <c r="P34" s="69">
        <f t="shared" si="2"/>
        <v>12</v>
      </c>
      <c r="Q34" s="69"/>
      <c r="R34" s="69"/>
      <c r="S34" s="112">
        <f t="shared" si="1"/>
        <v>1.7002296726916195</v>
      </c>
    </row>
    <row r="35" spans="1:19" ht="90" customHeight="1">
      <c r="A35" s="17"/>
      <c r="B35" s="450"/>
      <c r="C35" s="359" t="s">
        <v>14</v>
      </c>
      <c r="D35" s="65" t="s">
        <v>93</v>
      </c>
      <c r="E35" s="177" t="s">
        <v>86</v>
      </c>
      <c r="F35" s="156"/>
      <c r="G35" s="185">
        <v>80</v>
      </c>
      <c r="H35" s="461"/>
      <c r="I35" s="403"/>
      <c r="J35" s="437"/>
      <c r="K35" s="438"/>
      <c r="L35" s="401"/>
      <c r="M35" s="128">
        <v>7981.6</v>
      </c>
      <c r="N35" s="442">
        <v>0</v>
      </c>
      <c r="O35" s="442">
        <v>104</v>
      </c>
      <c r="P35" s="72">
        <f>(O35-N35)*M35/SUM(M35:M39)</f>
        <v>78.14791766891138</v>
      </c>
      <c r="Q35" s="72"/>
      <c r="R35" s="76"/>
      <c r="S35" s="440">
        <f>1000*(P40)/(M35+M36+M37+M38+M39)</f>
        <v>9.791009029381497</v>
      </c>
    </row>
    <row r="36" spans="1:19" ht="90" customHeight="1">
      <c r="A36" s="17"/>
      <c r="B36" s="450"/>
      <c r="C36" s="359"/>
      <c r="D36" s="74" t="s">
        <v>29</v>
      </c>
      <c r="E36" s="182" t="s">
        <v>86</v>
      </c>
      <c r="F36" s="157"/>
      <c r="G36" s="186"/>
      <c r="H36" s="461"/>
      <c r="I36" s="403"/>
      <c r="J36" s="438"/>
      <c r="K36" s="438"/>
      <c r="L36" s="401"/>
      <c r="M36" s="131">
        <v>320.76</v>
      </c>
      <c r="N36" s="442"/>
      <c r="O36" s="442"/>
      <c r="P36" s="77"/>
      <c r="Q36" s="77">
        <f>(O35-N35)*M36/SUM(M35:M39)</f>
        <v>3.1405640562644095</v>
      </c>
      <c r="R36" s="78"/>
      <c r="S36" s="462"/>
    </row>
    <row r="37" spans="1:19" ht="90" customHeight="1">
      <c r="A37" s="17"/>
      <c r="B37" s="450"/>
      <c r="C37" s="359"/>
      <c r="D37" s="74" t="s">
        <v>30</v>
      </c>
      <c r="E37" s="182" t="s">
        <v>86</v>
      </c>
      <c r="F37" s="157"/>
      <c r="G37" s="186"/>
      <c r="H37" s="461"/>
      <c r="I37" s="403"/>
      <c r="J37" s="438"/>
      <c r="K37" s="438"/>
      <c r="L37" s="401"/>
      <c r="M37" s="131">
        <v>192</v>
      </c>
      <c r="N37" s="442"/>
      <c r="O37" s="442"/>
      <c r="P37" s="78"/>
      <c r="Q37" s="78"/>
      <c r="R37" s="78">
        <f>(O35-N35)*M37/SUM(M35:M39)</f>
        <v>1.8798737336412477</v>
      </c>
      <c r="S37" s="462"/>
    </row>
    <row r="38" spans="1:19" ht="90" customHeight="1">
      <c r="A38" s="17"/>
      <c r="B38" s="450"/>
      <c r="C38" s="359"/>
      <c r="D38" s="74" t="s">
        <v>31</v>
      </c>
      <c r="E38" s="182" t="s">
        <v>86</v>
      </c>
      <c r="F38" s="157"/>
      <c r="G38" s="186"/>
      <c r="H38" s="461"/>
      <c r="I38" s="403"/>
      <c r="J38" s="438"/>
      <c r="K38" s="438"/>
      <c r="L38" s="401"/>
      <c r="M38" s="131">
        <v>1590.6</v>
      </c>
      <c r="N38" s="442"/>
      <c r="O38" s="442"/>
      <c r="P38" s="78"/>
      <c r="Q38" s="78"/>
      <c r="R38" s="78">
        <f>(O35-N35)*M38/SUM(M35:M39)</f>
        <v>15.573578962134212</v>
      </c>
      <c r="S38" s="462"/>
    </row>
    <row r="39" spans="1:19" ht="90" customHeight="1">
      <c r="A39" s="17"/>
      <c r="B39" s="450"/>
      <c r="C39" s="359"/>
      <c r="D39" s="74" t="s">
        <v>32</v>
      </c>
      <c r="E39" s="182" t="s">
        <v>86</v>
      </c>
      <c r="F39" s="157"/>
      <c r="G39" s="186"/>
      <c r="H39" s="461"/>
      <c r="I39" s="403"/>
      <c r="J39" s="438"/>
      <c r="K39" s="438"/>
      <c r="L39" s="401"/>
      <c r="M39" s="131">
        <v>537.03</v>
      </c>
      <c r="N39" s="442"/>
      <c r="O39" s="442"/>
      <c r="P39" s="78"/>
      <c r="Q39" s="78"/>
      <c r="R39" s="78">
        <f>(O35-N35)*M39/SUM(M35:M39)</f>
        <v>5.258065579048746</v>
      </c>
      <c r="S39" s="462"/>
    </row>
    <row r="40" spans="1:19" ht="90" customHeight="1" thickBot="1">
      <c r="A40" s="17"/>
      <c r="B40" s="450"/>
      <c r="C40" s="360"/>
      <c r="D40" s="409" t="s">
        <v>104</v>
      </c>
      <c r="E40" s="410"/>
      <c r="F40" s="158"/>
      <c r="G40" s="187"/>
      <c r="H40" s="461"/>
      <c r="I40" s="403"/>
      <c r="J40" s="439"/>
      <c r="K40" s="438"/>
      <c r="L40" s="402"/>
      <c r="M40" s="129"/>
      <c r="N40" s="365"/>
      <c r="O40" s="365"/>
      <c r="P40" s="431">
        <f>SUM(P35:P39)+SUM(R35:R39)+SUM(Q35:Q39)</f>
        <v>103.99999999999999</v>
      </c>
      <c r="Q40" s="432"/>
      <c r="R40" s="433"/>
      <c r="S40" s="463"/>
    </row>
    <row r="41" spans="1:19" ht="90" customHeight="1">
      <c r="A41" s="17"/>
      <c r="B41" s="450"/>
      <c r="C41" s="60"/>
      <c r="D41" s="75" t="s">
        <v>107</v>
      </c>
      <c r="E41" s="182" t="s">
        <v>86</v>
      </c>
      <c r="F41" s="156"/>
      <c r="G41" s="185"/>
      <c r="H41" s="461"/>
      <c r="I41" s="403"/>
      <c r="J41" s="456"/>
      <c r="K41" s="438"/>
      <c r="L41" s="53"/>
      <c r="M41" s="128">
        <v>1543</v>
      </c>
      <c r="N41" s="306">
        <v>357</v>
      </c>
      <c r="O41" s="306">
        <v>379</v>
      </c>
      <c r="P41" s="79"/>
      <c r="Q41" s="79">
        <f>O41-N41</f>
        <v>22</v>
      </c>
      <c r="R41" s="80"/>
      <c r="S41" s="114">
        <f>SUM(Q41/M41)*1000</f>
        <v>14.257939079714841</v>
      </c>
    </row>
    <row r="42" spans="1:19" ht="90" customHeight="1">
      <c r="A42" s="17"/>
      <c r="B42" s="450"/>
      <c r="C42" s="60"/>
      <c r="D42" s="75" t="s">
        <v>140</v>
      </c>
      <c r="E42" s="182" t="s">
        <v>86</v>
      </c>
      <c r="F42" s="156"/>
      <c r="G42" s="185"/>
      <c r="H42" s="461"/>
      <c r="I42" s="403"/>
      <c r="J42" s="457"/>
      <c r="K42" s="438"/>
      <c r="L42" s="53"/>
      <c r="M42" s="128">
        <v>207</v>
      </c>
      <c r="N42" s="306">
        <v>0</v>
      </c>
      <c r="O42" s="306">
        <v>6</v>
      </c>
      <c r="P42" s="79"/>
      <c r="Q42" s="79">
        <f>O42-N42</f>
        <v>6</v>
      </c>
      <c r="R42" s="80"/>
      <c r="S42" s="114">
        <f>SUM(Q42/M42)*1000</f>
        <v>28.985507246376812</v>
      </c>
    </row>
    <row r="43" spans="1:19" ht="90" customHeight="1" thickBot="1">
      <c r="A43" s="17"/>
      <c r="B43" s="450"/>
      <c r="C43" s="458" t="s">
        <v>106</v>
      </c>
      <c r="D43" s="459"/>
      <c r="E43" s="182" t="s">
        <v>86</v>
      </c>
      <c r="F43" s="159"/>
      <c r="G43" s="188"/>
      <c r="H43" s="461"/>
      <c r="I43" s="403"/>
      <c r="J43" s="419"/>
      <c r="K43" s="465"/>
      <c r="L43" s="40"/>
      <c r="M43" s="130">
        <v>3927</v>
      </c>
      <c r="N43" s="307">
        <v>0</v>
      </c>
      <c r="O43" s="307">
        <v>78</v>
      </c>
      <c r="P43" s="145"/>
      <c r="Q43" s="145">
        <v>78</v>
      </c>
      <c r="R43" s="81"/>
      <c r="S43" s="114">
        <f>SUM(Q43/M43)*1000</f>
        <v>19.862490450725744</v>
      </c>
    </row>
    <row r="44" spans="1:19" s="2" customFormat="1" ht="90" customHeight="1" thickBot="1" thickTop="1">
      <c r="A44" s="27"/>
      <c r="B44" s="450"/>
      <c r="C44" s="466" t="s">
        <v>85</v>
      </c>
      <c r="D44" s="467"/>
      <c r="E44" s="467"/>
      <c r="F44" s="140"/>
      <c r="G44" s="189">
        <f>SUM(G28+G29+G30+G31+G32+G33+G34+G35)</f>
        <v>450</v>
      </c>
      <c r="H44" s="461"/>
      <c r="I44" s="394"/>
      <c r="J44" s="414">
        <f>SUM(M28:M43)</f>
        <v>62850.310000000005</v>
      </c>
      <c r="K44" s="415"/>
      <c r="L44" s="416"/>
      <c r="M44" s="417"/>
      <c r="N44" s="91">
        <f>SUM(N28:N43)</f>
        <v>357</v>
      </c>
      <c r="O44" s="91">
        <f>SUM(O28:O43)</f>
        <v>1295</v>
      </c>
      <c r="P44" s="92">
        <f>SUM(P28:P43)-P40</f>
        <v>806.1479176689114</v>
      </c>
      <c r="Q44" s="92">
        <f>SUM(Q28:Q43)</f>
        <v>109.14056405626441</v>
      </c>
      <c r="R44" s="92">
        <f>SUM(R28:R43)</f>
        <v>22.711518274824208</v>
      </c>
      <c r="S44" s="116">
        <f>1000*(R44+Q44+P44)/J44</f>
        <v>14.924349617368632</v>
      </c>
    </row>
    <row r="45" spans="1:19" s="2" customFormat="1" ht="13.5" customHeight="1">
      <c r="A45" s="27"/>
      <c r="B45" s="451"/>
      <c r="C45" s="455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</row>
    <row r="46" spans="2:19" s="2" customFormat="1" ht="9" customHeight="1">
      <c r="B46" s="23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s="9" customFormat="1" ht="13.5" customHeight="1" thickBot="1">
      <c r="B47" s="397" t="s">
        <v>84</v>
      </c>
      <c r="C47" s="480" t="s">
        <v>73</v>
      </c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</row>
    <row r="48" spans="2:19" ht="90" customHeight="1" thickBot="1">
      <c r="B48" s="398"/>
      <c r="C48" s="292" t="s">
        <v>126</v>
      </c>
      <c r="D48" s="291"/>
      <c r="E48" s="477" t="s">
        <v>139</v>
      </c>
      <c r="F48" s="478"/>
      <c r="G48" s="218"/>
      <c r="H48" s="502"/>
      <c r="I48" s="474"/>
      <c r="J48" s="503"/>
      <c r="K48" s="482"/>
      <c r="L48" s="221"/>
      <c r="M48" s="219"/>
      <c r="N48" s="308">
        <v>35.5</v>
      </c>
      <c r="O48" s="308">
        <v>36.5</v>
      </c>
      <c r="P48" s="317">
        <f>O48-N48</f>
        <v>1</v>
      </c>
      <c r="Q48" s="220"/>
      <c r="R48" s="220"/>
      <c r="S48" s="219"/>
    </row>
    <row r="49" spans="2:19" ht="90" customHeight="1">
      <c r="B49" s="398"/>
      <c r="C49" s="427" t="s">
        <v>130</v>
      </c>
      <c r="D49" s="82" t="s">
        <v>128</v>
      </c>
      <c r="E49" s="217" t="s">
        <v>86</v>
      </c>
      <c r="F49" s="160"/>
      <c r="G49" s="210">
        <v>23</v>
      </c>
      <c r="H49" s="502"/>
      <c r="I49" s="475"/>
      <c r="J49" s="471"/>
      <c r="K49" s="483"/>
      <c r="L49" s="11"/>
      <c r="M49" s="232">
        <v>3700.7</v>
      </c>
      <c r="N49" s="485">
        <v>774</v>
      </c>
      <c r="O49" s="485">
        <v>849</v>
      </c>
      <c r="P49" s="258">
        <f>SUM(O49-N49)-R50</f>
        <v>71.875</v>
      </c>
      <c r="Q49" s="142"/>
      <c r="R49" s="142"/>
      <c r="S49" s="233">
        <f>1000*(R49+Q49+P49)/M49</f>
        <v>19.42200124300808</v>
      </c>
    </row>
    <row r="50" spans="2:19" ht="90" customHeight="1">
      <c r="B50" s="398"/>
      <c r="C50" s="359"/>
      <c r="D50" s="74" t="s">
        <v>128</v>
      </c>
      <c r="E50" s="182" t="s">
        <v>86</v>
      </c>
      <c r="F50" s="161"/>
      <c r="G50" s="99">
        <v>1</v>
      </c>
      <c r="H50" s="502"/>
      <c r="I50" s="475"/>
      <c r="J50" s="471"/>
      <c r="K50" s="483"/>
      <c r="L50" s="11"/>
      <c r="M50" s="234">
        <v>160.9</v>
      </c>
      <c r="N50" s="490"/>
      <c r="O50" s="490"/>
      <c r="P50" s="144"/>
      <c r="Q50" s="144"/>
      <c r="R50" s="258">
        <f>(O49-N49)/(M49+M50)*M50</f>
        <v>3.125</v>
      </c>
      <c r="S50" s="233">
        <f>1000*(R50+Q50+P50)/M50</f>
        <v>19.42200124300808</v>
      </c>
    </row>
    <row r="51" spans="2:19" ht="90" customHeight="1">
      <c r="B51" s="398"/>
      <c r="C51" s="359"/>
      <c r="D51" s="74" t="s">
        <v>95</v>
      </c>
      <c r="E51" s="182" t="s">
        <v>86</v>
      </c>
      <c r="F51" s="161"/>
      <c r="G51" s="99">
        <v>8</v>
      </c>
      <c r="H51" s="502"/>
      <c r="I51" s="475"/>
      <c r="J51" s="471"/>
      <c r="K51" s="483"/>
      <c r="L51" s="11"/>
      <c r="M51" s="131">
        <v>1264.8</v>
      </c>
      <c r="N51" s="304">
        <v>172</v>
      </c>
      <c r="O51" s="304">
        <v>184</v>
      </c>
      <c r="P51" s="144">
        <f>O51-N51</f>
        <v>12</v>
      </c>
      <c r="Q51" s="83"/>
      <c r="R51" s="83"/>
      <c r="S51" s="114">
        <f aca="true" t="shared" si="3" ref="S51:S59">1000*(R51+Q51+P51)/M51</f>
        <v>9.487666034155598</v>
      </c>
    </row>
    <row r="52" spans="2:19" ht="90" customHeight="1">
      <c r="B52" s="398"/>
      <c r="C52" s="359"/>
      <c r="D52" s="74" t="s">
        <v>96</v>
      </c>
      <c r="E52" s="182" t="s">
        <v>86</v>
      </c>
      <c r="F52" s="161"/>
      <c r="G52" s="99">
        <v>8</v>
      </c>
      <c r="H52" s="502"/>
      <c r="I52" s="475"/>
      <c r="J52" s="471"/>
      <c r="K52" s="483"/>
      <c r="L52" s="11"/>
      <c r="M52" s="131">
        <v>1264.8</v>
      </c>
      <c r="N52" s="309">
        <v>154</v>
      </c>
      <c r="O52" s="309">
        <v>167</v>
      </c>
      <c r="P52" s="144">
        <f aca="true" t="shared" si="4" ref="P52:P59">O52-N52</f>
        <v>13</v>
      </c>
      <c r="Q52" s="83"/>
      <c r="R52" s="83"/>
      <c r="S52" s="114">
        <f t="shared" si="3"/>
        <v>10.278304870335232</v>
      </c>
    </row>
    <row r="53" spans="2:19" ht="90" customHeight="1">
      <c r="B53" s="398"/>
      <c r="C53" s="359"/>
      <c r="D53" s="74" t="s">
        <v>97</v>
      </c>
      <c r="E53" s="182" t="s">
        <v>86</v>
      </c>
      <c r="F53" s="161"/>
      <c r="G53" s="99">
        <v>8</v>
      </c>
      <c r="H53" s="502"/>
      <c r="I53" s="475"/>
      <c r="J53" s="471"/>
      <c r="K53" s="483"/>
      <c r="L53" s="11"/>
      <c r="M53" s="131">
        <v>1264.8</v>
      </c>
      <c r="N53" s="309">
        <v>196</v>
      </c>
      <c r="O53" s="309">
        <v>213</v>
      </c>
      <c r="P53" s="144">
        <f t="shared" si="4"/>
        <v>17</v>
      </c>
      <c r="Q53" s="83"/>
      <c r="R53" s="83"/>
      <c r="S53" s="114">
        <f t="shared" si="3"/>
        <v>13.440860215053764</v>
      </c>
    </row>
    <row r="54" spans="2:19" ht="90" customHeight="1">
      <c r="B54" s="398"/>
      <c r="C54" s="359"/>
      <c r="D54" s="74" t="s">
        <v>98</v>
      </c>
      <c r="E54" s="182" t="s">
        <v>86</v>
      </c>
      <c r="F54" s="191" t="s">
        <v>120</v>
      </c>
      <c r="G54" s="99">
        <v>8</v>
      </c>
      <c r="H54" s="502"/>
      <c r="I54" s="475"/>
      <c r="J54" s="471"/>
      <c r="K54" s="483"/>
      <c r="L54" s="11"/>
      <c r="M54" s="131">
        <v>1264.8</v>
      </c>
      <c r="N54" s="310">
        <v>169</v>
      </c>
      <c r="O54" s="310">
        <v>179</v>
      </c>
      <c r="P54" s="144">
        <f t="shared" si="4"/>
        <v>10</v>
      </c>
      <c r="Q54" s="83"/>
      <c r="R54" s="83"/>
      <c r="S54" s="114">
        <f t="shared" si="3"/>
        <v>7.906388361796331</v>
      </c>
    </row>
    <row r="55" spans="2:19" ht="90" customHeight="1">
      <c r="B55" s="398"/>
      <c r="C55" s="359"/>
      <c r="D55" s="74" t="s">
        <v>99</v>
      </c>
      <c r="E55" s="182" t="s">
        <v>86</v>
      </c>
      <c r="F55" s="191" t="s">
        <v>120</v>
      </c>
      <c r="G55" s="99">
        <v>8</v>
      </c>
      <c r="H55" s="502"/>
      <c r="I55" s="475"/>
      <c r="J55" s="471"/>
      <c r="K55" s="483"/>
      <c r="L55" s="11"/>
      <c r="M55" s="131">
        <v>1264.8</v>
      </c>
      <c r="N55" s="309">
        <v>185</v>
      </c>
      <c r="O55" s="309">
        <v>194</v>
      </c>
      <c r="P55" s="144">
        <f t="shared" si="4"/>
        <v>9</v>
      </c>
      <c r="Q55" s="83"/>
      <c r="R55" s="83"/>
      <c r="S55" s="114">
        <f t="shared" si="3"/>
        <v>7.115749525616699</v>
      </c>
    </row>
    <row r="56" spans="2:19" ht="90" customHeight="1">
      <c r="B56" s="398"/>
      <c r="C56" s="359"/>
      <c r="D56" s="74" t="s">
        <v>100</v>
      </c>
      <c r="E56" s="182" t="s">
        <v>86</v>
      </c>
      <c r="F56" s="191" t="s">
        <v>120</v>
      </c>
      <c r="G56" s="99">
        <v>8</v>
      </c>
      <c r="H56" s="502"/>
      <c r="I56" s="475"/>
      <c r="J56" s="471"/>
      <c r="K56" s="483"/>
      <c r="L56" s="11"/>
      <c r="M56" s="131">
        <v>1256.71</v>
      </c>
      <c r="N56" s="309">
        <v>184</v>
      </c>
      <c r="O56" s="309">
        <v>196</v>
      </c>
      <c r="P56" s="144">
        <f t="shared" si="4"/>
        <v>12</v>
      </c>
      <c r="Q56" s="83"/>
      <c r="R56" s="83"/>
      <c r="S56" s="114">
        <f t="shared" si="3"/>
        <v>9.548742351059513</v>
      </c>
    </row>
    <row r="57" spans="2:19" ht="90" customHeight="1">
      <c r="B57" s="398"/>
      <c r="C57" s="359"/>
      <c r="D57" s="74" t="s">
        <v>49</v>
      </c>
      <c r="E57" s="182" t="s">
        <v>86</v>
      </c>
      <c r="F57" s="161"/>
      <c r="G57" s="99">
        <v>8</v>
      </c>
      <c r="H57" s="502"/>
      <c r="I57" s="475"/>
      <c r="J57" s="471"/>
      <c r="K57" s="483"/>
      <c r="L57" s="11"/>
      <c r="M57" s="131">
        <v>1264.8</v>
      </c>
      <c r="N57" s="309">
        <v>222</v>
      </c>
      <c r="O57" s="309">
        <v>242</v>
      </c>
      <c r="P57" s="144">
        <f t="shared" si="4"/>
        <v>20</v>
      </c>
      <c r="Q57" s="83"/>
      <c r="R57" s="83"/>
      <c r="S57" s="114">
        <f t="shared" si="3"/>
        <v>15.812776723592663</v>
      </c>
    </row>
    <row r="58" spans="2:19" ht="90" customHeight="1">
      <c r="B58" s="398"/>
      <c r="C58" s="359"/>
      <c r="D58" s="74" t="s">
        <v>48</v>
      </c>
      <c r="E58" s="182" t="s">
        <v>86</v>
      </c>
      <c r="F58" s="161"/>
      <c r="G58" s="99">
        <v>8</v>
      </c>
      <c r="H58" s="502"/>
      <c r="I58" s="475"/>
      <c r="J58" s="471"/>
      <c r="K58" s="483"/>
      <c r="L58" s="11"/>
      <c r="M58" s="131">
        <v>1264.8</v>
      </c>
      <c r="N58" s="310">
        <v>319</v>
      </c>
      <c r="O58" s="310">
        <v>361</v>
      </c>
      <c r="P58" s="144">
        <f t="shared" si="4"/>
        <v>42</v>
      </c>
      <c r="Q58" s="83"/>
      <c r="R58" s="83"/>
      <c r="S58" s="114">
        <f t="shared" si="3"/>
        <v>33.206831119544596</v>
      </c>
    </row>
    <row r="59" spans="2:19" ht="90" customHeight="1" thickBot="1">
      <c r="B59" s="398"/>
      <c r="C59" s="359"/>
      <c r="D59" s="67" t="s">
        <v>50</v>
      </c>
      <c r="E59" s="179" t="s">
        <v>86</v>
      </c>
      <c r="F59" s="162"/>
      <c r="G59" s="100">
        <v>8</v>
      </c>
      <c r="H59" s="502"/>
      <c r="I59" s="475"/>
      <c r="J59" s="504"/>
      <c r="K59" s="484"/>
      <c r="L59" s="31"/>
      <c r="M59" s="130">
        <v>1264.8</v>
      </c>
      <c r="N59" s="311">
        <v>242</v>
      </c>
      <c r="O59" s="311">
        <v>261</v>
      </c>
      <c r="P59" s="144">
        <f t="shared" si="4"/>
        <v>19</v>
      </c>
      <c r="Q59" s="143"/>
      <c r="R59" s="84"/>
      <c r="S59" s="114">
        <f t="shared" si="3"/>
        <v>15.022137887413031</v>
      </c>
    </row>
    <row r="60" spans="2:19" ht="90" customHeight="1" thickBot="1" thickTop="1">
      <c r="B60" s="398"/>
      <c r="C60" s="359"/>
      <c r="D60" s="407" t="s">
        <v>72</v>
      </c>
      <c r="E60" s="408"/>
      <c r="F60" s="163"/>
      <c r="G60" s="227">
        <f>SUM(G49+G51+G52+G53+G54+G55+G56+G57+G58+G59)</f>
        <v>95</v>
      </c>
      <c r="H60" s="502"/>
      <c r="I60" s="475"/>
      <c r="J60" s="487">
        <f>SUM(M48:M59)</f>
        <v>15236.709999999995</v>
      </c>
      <c r="K60" s="488"/>
      <c r="L60" s="488"/>
      <c r="M60" s="489"/>
      <c r="N60" s="94">
        <f>SUM(N49:N59)</f>
        <v>2617</v>
      </c>
      <c r="O60" s="94">
        <f>SUM(O49:O59)</f>
        <v>2846</v>
      </c>
      <c r="P60" s="93">
        <f>SUM(P48:P59)</f>
        <v>226.875</v>
      </c>
      <c r="Q60" s="472"/>
      <c r="R60" s="473"/>
      <c r="S60" s="118"/>
    </row>
    <row r="61" spans="2:19" ht="90" customHeight="1">
      <c r="B61" s="398"/>
      <c r="C61" s="427" t="s">
        <v>130</v>
      </c>
      <c r="D61" s="296" t="s">
        <v>51</v>
      </c>
      <c r="E61" s="182" t="s">
        <v>86</v>
      </c>
      <c r="F61" s="161"/>
      <c r="G61" s="99">
        <v>8</v>
      </c>
      <c r="H61" s="502"/>
      <c r="I61" s="475"/>
      <c r="J61" s="37"/>
      <c r="K61" s="418"/>
      <c r="L61" s="493"/>
      <c r="M61" s="131">
        <v>1264.8</v>
      </c>
      <c r="N61" s="309">
        <v>167</v>
      </c>
      <c r="O61" s="309">
        <v>182</v>
      </c>
      <c r="P61" s="83">
        <f>O61-N61</f>
        <v>15</v>
      </c>
      <c r="Q61" s="83"/>
      <c r="R61" s="83"/>
      <c r="S61" s="117">
        <f>1000*(R61+Q61+P61)/M61</f>
        <v>11.859582542694497</v>
      </c>
    </row>
    <row r="62" spans="2:19" ht="90" customHeight="1" thickBot="1">
      <c r="B62" s="398"/>
      <c r="C62" s="359"/>
      <c r="D62" s="297" t="s">
        <v>52</v>
      </c>
      <c r="E62" s="179" t="s">
        <v>86</v>
      </c>
      <c r="F62" s="162"/>
      <c r="G62" s="100">
        <v>8</v>
      </c>
      <c r="H62" s="502"/>
      <c r="I62" s="475"/>
      <c r="J62" s="43"/>
      <c r="K62" s="419"/>
      <c r="L62" s="494"/>
      <c r="M62" s="130">
        <v>1264.8</v>
      </c>
      <c r="N62" s="311">
        <v>163</v>
      </c>
      <c r="O62" s="311">
        <v>178</v>
      </c>
      <c r="P62" s="83">
        <f>O62-N62</f>
        <v>15</v>
      </c>
      <c r="Q62" s="143"/>
      <c r="R62" s="84"/>
      <c r="S62" s="117">
        <f>1000*(R62+Q62+P62)/M62</f>
        <v>11.859582542694497</v>
      </c>
    </row>
    <row r="63" spans="2:19" ht="90" customHeight="1" thickBot="1" thickTop="1">
      <c r="B63" s="398"/>
      <c r="C63" s="360"/>
      <c r="D63" s="513" t="s">
        <v>72</v>
      </c>
      <c r="E63" s="408"/>
      <c r="F63" s="163"/>
      <c r="G63" s="227">
        <f>SUM(G61:G62)</f>
        <v>16</v>
      </c>
      <c r="H63" s="502"/>
      <c r="I63" s="475"/>
      <c r="J63" s="497">
        <f>SUM(M61:M62)</f>
        <v>2529.6</v>
      </c>
      <c r="K63" s="498"/>
      <c r="L63" s="498"/>
      <c r="M63" s="499"/>
      <c r="N63" s="94">
        <f>SUM(N61:N62)</f>
        <v>330</v>
      </c>
      <c r="O63" s="94">
        <f>SUM(O61:O62)</f>
        <v>360</v>
      </c>
      <c r="P63" s="93">
        <f>SUM(P61:P62)</f>
        <v>30</v>
      </c>
      <c r="Q63" s="472"/>
      <c r="R63" s="473"/>
      <c r="S63" s="118"/>
    </row>
    <row r="64" spans="2:19" ht="90" customHeight="1" thickBot="1">
      <c r="B64" s="398"/>
      <c r="C64" s="85" t="s">
        <v>15</v>
      </c>
      <c r="D64" s="62" t="s">
        <v>16</v>
      </c>
      <c r="E64" s="178" t="s">
        <v>103</v>
      </c>
      <c r="F64" s="164"/>
      <c r="G64" s="101">
        <v>85</v>
      </c>
      <c r="H64" s="502"/>
      <c r="I64" s="475"/>
      <c r="J64" s="42"/>
      <c r="K64" s="482"/>
      <c r="L64" s="48"/>
      <c r="M64" s="132">
        <v>11989</v>
      </c>
      <c r="N64" s="312">
        <v>4820</v>
      </c>
      <c r="O64" s="312">
        <v>5019</v>
      </c>
      <c r="P64" s="87">
        <f>O64-N64</f>
        <v>199</v>
      </c>
      <c r="Q64" s="87"/>
      <c r="R64" s="87"/>
      <c r="S64" s="119">
        <f>1000*(R64+P64)/M64</f>
        <v>16.598548669613812</v>
      </c>
    </row>
    <row r="65" spans="2:19" ht="90" customHeight="1" thickBot="1">
      <c r="B65" s="398"/>
      <c r="C65" s="86" t="s">
        <v>17</v>
      </c>
      <c r="D65" s="64" t="s">
        <v>18</v>
      </c>
      <c r="E65" s="176" t="s">
        <v>103</v>
      </c>
      <c r="F65" s="52"/>
      <c r="G65" s="102">
        <v>60</v>
      </c>
      <c r="H65" s="502"/>
      <c r="I65" s="475"/>
      <c r="J65" s="11"/>
      <c r="K65" s="483"/>
      <c r="L65" s="51"/>
      <c r="M65" s="133">
        <v>8258.67</v>
      </c>
      <c r="N65" s="303">
        <v>2045</v>
      </c>
      <c r="O65" s="303">
        <v>2094</v>
      </c>
      <c r="P65" s="69">
        <f>O65-N65</f>
        <v>49</v>
      </c>
      <c r="Q65" s="69"/>
      <c r="R65" s="69"/>
      <c r="S65" s="113">
        <f>1000*(R65+P65)/M65</f>
        <v>5.933158728947881</v>
      </c>
    </row>
    <row r="66" spans="2:19" ht="90" customHeight="1" thickBot="1">
      <c r="B66" s="398"/>
      <c r="C66" s="427" t="s">
        <v>19</v>
      </c>
      <c r="D66" s="215" t="s">
        <v>20</v>
      </c>
      <c r="E66" s="390" t="s">
        <v>103</v>
      </c>
      <c r="F66" s="482"/>
      <c r="G66" s="102">
        <v>99</v>
      </c>
      <c r="H66" s="502"/>
      <c r="I66" s="475"/>
      <c r="J66" s="45"/>
      <c r="K66" s="483"/>
      <c r="L66" s="52"/>
      <c r="M66" s="213">
        <v>14580</v>
      </c>
      <c r="N66" s="364">
        <v>7916</v>
      </c>
      <c r="O66" s="364">
        <v>8276</v>
      </c>
      <c r="P66" s="229">
        <f>(O66-N66)*M66/(M66+M67)</f>
        <v>356.697247706422</v>
      </c>
      <c r="Q66" s="214"/>
      <c r="R66" s="214"/>
      <c r="S66" s="440">
        <f>1000*(Q66+R66+P66+R67+Q67+P67)/(M66+M67)</f>
        <v>24.464831804281346</v>
      </c>
    </row>
    <row r="67" spans="2:19" ht="90" customHeight="1" thickBot="1">
      <c r="B67" s="398"/>
      <c r="C67" s="510"/>
      <c r="D67" s="66" t="s">
        <v>143</v>
      </c>
      <c r="E67" s="391"/>
      <c r="F67" s="511"/>
      <c r="G67" s="102">
        <v>1</v>
      </c>
      <c r="H67" s="502"/>
      <c r="I67" s="475"/>
      <c r="J67" s="45"/>
      <c r="K67" s="483"/>
      <c r="L67" s="212"/>
      <c r="M67" s="216">
        <v>135</v>
      </c>
      <c r="N67" s="479"/>
      <c r="O67" s="479"/>
      <c r="P67" s="71"/>
      <c r="Q67" s="71"/>
      <c r="R67" s="230">
        <f>(O66-N66)*M67/(M66+M67)</f>
        <v>3.302752293577982</v>
      </c>
      <c r="S67" s="463"/>
    </row>
    <row r="68" spans="2:19" ht="90" customHeight="1">
      <c r="B68" s="398"/>
      <c r="C68" s="509" t="s">
        <v>113</v>
      </c>
      <c r="D68" s="65" t="s">
        <v>33</v>
      </c>
      <c r="E68" s="180" t="s">
        <v>86</v>
      </c>
      <c r="F68" s="165"/>
      <c r="G68" s="103">
        <v>6</v>
      </c>
      <c r="H68" s="502"/>
      <c r="I68" s="475"/>
      <c r="J68" s="11"/>
      <c r="K68" s="483"/>
      <c r="L68" s="471"/>
      <c r="M68" s="128">
        <v>1078.35</v>
      </c>
      <c r="N68" s="304">
        <v>126</v>
      </c>
      <c r="O68" s="304">
        <v>133</v>
      </c>
      <c r="P68" s="142">
        <v>7</v>
      </c>
      <c r="Q68" s="142"/>
      <c r="R68" s="70"/>
      <c r="S68" s="114">
        <f>1000*(R68+Q68+P68)/M68</f>
        <v>6.491398896462188</v>
      </c>
    </row>
    <row r="69" spans="2:19" ht="90" customHeight="1">
      <c r="B69" s="398"/>
      <c r="C69" s="509"/>
      <c r="D69" s="65" t="s">
        <v>148</v>
      </c>
      <c r="E69" s="180" t="s">
        <v>86</v>
      </c>
      <c r="F69" s="165"/>
      <c r="G69" s="103">
        <v>1</v>
      </c>
      <c r="H69" s="502"/>
      <c r="I69" s="475"/>
      <c r="J69" s="11"/>
      <c r="K69" s="483"/>
      <c r="L69" s="471"/>
      <c r="M69" s="128">
        <v>546.02</v>
      </c>
      <c r="N69" s="304">
        <v>232</v>
      </c>
      <c r="O69" s="304">
        <v>234</v>
      </c>
      <c r="P69" s="83">
        <f>O69-N69</f>
        <v>2</v>
      </c>
      <c r="Q69" s="142"/>
      <c r="R69" s="70"/>
      <c r="S69" s="114">
        <f aca="true" t="shared" si="5" ref="S69:S85">1000*(R69+Q69+P69)/M69</f>
        <v>3.6628694919600018</v>
      </c>
    </row>
    <row r="70" spans="2:19" ht="90" customHeight="1">
      <c r="B70" s="398"/>
      <c r="C70" s="509"/>
      <c r="D70" s="74" t="s">
        <v>34</v>
      </c>
      <c r="E70" s="180" t="s">
        <v>112</v>
      </c>
      <c r="F70" s="166"/>
      <c r="G70" s="99">
        <v>7</v>
      </c>
      <c r="H70" s="502"/>
      <c r="I70" s="475"/>
      <c r="J70" s="11"/>
      <c r="K70" s="483"/>
      <c r="L70" s="471"/>
      <c r="M70" s="131">
        <v>1254.95</v>
      </c>
      <c r="N70" s="304">
        <v>323</v>
      </c>
      <c r="O70" s="304">
        <v>351</v>
      </c>
      <c r="P70" s="83">
        <f>O70-N70</f>
        <v>28</v>
      </c>
      <c r="Q70" s="83"/>
      <c r="R70" s="83"/>
      <c r="S70" s="114">
        <f t="shared" si="5"/>
        <v>22.311645882306067</v>
      </c>
    </row>
    <row r="71" spans="2:19" ht="90" customHeight="1">
      <c r="B71" s="398"/>
      <c r="C71" s="509"/>
      <c r="D71" s="74" t="s">
        <v>35</v>
      </c>
      <c r="E71" s="180" t="s">
        <v>112</v>
      </c>
      <c r="F71" s="166"/>
      <c r="G71" s="99">
        <v>9</v>
      </c>
      <c r="H71" s="502"/>
      <c r="I71" s="475"/>
      <c r="J71" s="11"/>
      <c r="K71" s="483"/>
      <c r="L71" s="471"/>
      <c r="M71" s="131">
        <v>1339.72</v>
      </c>
      <c r="N71" s="310">
        <v>0</v>
      </c>
      <c r="O71" s="310">
        <v>20</v>
      </c>
      <c r="P71" s="83">
        <f>O71-N71</f>
        <v>20</v>
      </c>
      <c r="Q71" s="83"/>
      <c r="R71" s="83"/>
      <c r="S71" s="114">
        <f t="shared" si="5"/>
        <v>14.928492520825246</v>
      </c>
    </row>
    <row r="72" spans="2:19" ht="90" customHeight="1">
      <c r="B72" s="398"/>
      <c r="C72" s="509"/>
      <c r="D72" s="74" t="s">
        <v>36</v>
      </c>
      <c r="E72" s="180" t="s">
        <v>112</v>
      </c>
      <c r="F72" s="166"/>
      <c r="G72" s="99">
        <v>9</v>
      </c>
      <c r="H72" s="502"/>
      <c r="I72" s="475"/>
      <c r="J72" s="11"/>
      <c r="K72" s="483"/>
      <c r="L72" s="471"/>
      <c r="M72" s="131">
        <v>1352.43</v>
      </c>
      <c r="N72" s="310">
        <v>172</v>
      </c>
      <c r="O72" s="310">
        <v>184</v>
      </c>
      <c r="P72" s="83">
        <f>O72-N72</f>
        <v>12</v>
      </c>
      <c r="Q72" s="83"/>
      <c r="R72" s="83"/>
      <c r="S72" s="114">
        <f t="shared" si="5"/>
        <v>8.872917637142033</v>
      </c>
    </row>
    <row r="73" spans="2:19" ht="90" customHeight="1">
      <c r="B73" s="398"/>
      <c r="C73" s="509"/>
      <c r="D73" s="74" t="s">
        <v>37</v>
      </c>
      <c r="E73" s="180" t="s">
        <v>112</v>
      </c>
      <c r="F73" s="166"/>
      <c r="G73" s="99">
        <v>9</v>
      </c>
      <c r="H73" s="502"/>
      <c r="I73" s="475"/>
      <c r="J73" s="11"/>
      <c r="K73" s="483"/>
      <c r="L73" s="471"/>
      <c r="M73" s="131">
        <v>1432.58</v>
      </c>
      <c r="N73" s="310">
        <v>288</v>
      </c>
      <c r="O73" s="310">
        <v>316</v>
      </c>
      <c r="P73" s="83">
        <f>O73-N73</f>
        <v>28</v>
      </c>
      <c r="Q73" s="83"/>
      <c r="R73" s="83"/>
      <c r="S73" s="114">
        <f t="shared" si="5"/>
        <v>19.545156291446204</v>
      </c>
    </row>
    <row r="74" spans="2:19" ht="90" customHeight="1">
      <c r="B74" s="398"/>
      <c r="C74" s="509"/>
      <c r="D74" s="211" t="s">
        <v>38</v>
      </c>
      <c r="E74" s="500" t="s">
        <v>112</v>
      </c>
      <c r="F74" s="516"/>
      <c r="G74" s="99">
        <v>8</v>
      </c>
      <c r="H74" s="502"/>
      <c r="I74" s="475"/>
      <c r="J74" s="11"/>
      <c r="K74" s="483"/>
      <c r="L74" s="471"/>
      <c r="M74" s="131">
        <v>1180.67</v>
      </c>
      <c r="N74" s="485">
        <v>301</v>
      </c>
      <c r="O74" s="485">
        <v>326</v>
      </c>
      <c r="P74" s="231">
        <f>M74*(O74-N74)/(M74+M75)</f>
        <v>21.705248218605917</v>
      </c>
      <c r="Q74" s="144"/>
      <c r="R74" s="83"/>
      <c r="S74" s="495">
        <f>1000*(R74+Q74+P74+P75+Q75+R75)/(M74+M75)</f>
        <v>18.3838398694012</v>
      </c>
    </row>
    <row r="75" spans="2:19" ht="90" customHeight="1">
      <c r="B75" s="398"/>
      <c r="C75" s="509"/>
      <c r="D75" s="211" t="s">
        <v>147</v>
      </c>
      <c r="E75" s="501"/>
      <c r="F75" s="517"/>
      <c r="G75" s="99">
        <v>1</v>
      </c>
      <c r="H75" s="502"/>
      <c r="I75" s="475"/>
      <c r="J75" s="11"/>
      <c r="K75" s="483"/>
      <c r="L75" s="471"/>
      <c r="M75" s="131">
        <v>179.22</v>
      </c>
      <c r="N75" s="486"/>
      <c r="O75" s="486"/>
      <c r="P75" s="144"/>
      <c r="Q75" s="144"/>
      <c r="R75" s="231">
        <f>M75*(O74-N74)/(M74+M75)</f>
        <v>3.294751781394083</v>
      </c>
      <c r="S75" s="496"/>
    </row>
    <row r="76" spans="2:19" ht="90" customHeight="1">
      <c r="B76" s="398"/>
      <c r="C76" s="509"/>
      <c r="D76" s="74" t="s">
        <v>39</v>
      </c>
      <c r="E76" s="180" t="s">
        <v>112</v>
      </c>
      <c r="F76" s="166"/>
      <c r="G76" s="99">
        <v>9</v>
      </c>
      <c r="H76" s="502"/>
      <c r="I76" s="475"/>
      <c r="J76" s="11"/>
      <c r="K76" s="483"/>
      <c r="L76" s="471"/>
      <c r="M76" s="131">
        <v>1380.67</v>
      </c>
      <c r="N76" s="304">
        <v>193</v>
      </c>
      <c r="O76" s="304">
        <v>204</v>
      </c>
      <c r="P76" s="83">
        <f aca="true" t="shared" si="6" ref="P76:P85">O76-N76</f>
        <v>11</v>
      </c>
      <c r="Q76" s="83"/>
      <c r="R76" s="83"/>
      <c r="S76" s="114">
        <f t="shared" si="5"/>
        <v>7.967146385450541</v>
      </c>
    </row>
    <row r="77" spans="2:19" ht="90" customHeight="1">
      <c r="B77" s="398"/>
      <c r="C77" s="509"/>
      <c r="D77" s="74" t="s">
        <v>146</v>
      </c>
      <c r="E77" s="180" t="s">
        <v>86</v>
      </c>
      <c r="F77" s="166"/>
      <c r="G77" s="99">
        <v>1</v>
      </c>
      <c r="H77" s="502"/>
      <c r="I77" s="475"/>
      <c r="J77" s="11"/>
      <c r="K77" s="483"/>
      <c r="L77" s="471"/>
      <c r="M77" s="131">
        <v>303</v>
      </c>
      <c r="N77" s="304">
        <v>114</v>
      </c>
      <c r="O77" s="304">
        <v>116</v>
      </c>
      <c r="P77" s="83">
        <f>SUM(O77-N77)</f>
        <v>2</v>
      </c>
      <c r="Q77" s="83"/>
      <c r="R77" s="83"/>
      <c r="S77" s="114">
        <f t="shared" si="5"/>
        <v>6.600660066006601</v>
      </c>
    </row>
    <row r="78" spans="2:19" ht="90" customHeight="1">
      <c r="B78" s="398"/>
      <c r="C78" s="509"/>
      <c r="D78" s="74" t="s">
        <v>40</v>
      </c>
      <c r="E78" s="180" t="s">
        <v>86</v>
      </c>
      <c r="F78" s="161"/>
      <c r="G78" s="99">
        <v>8</v>
      </c>
      <c r="H78" s="502"/>
      <c r="I78" s="475"/>
      <c r="J78" s="11"/>
      <c r="K78" s="483"/>
      <c r="L78" s="471"/>
      <c r="M78" s="131">
        <v>1230.85</v>
      </c>
      <c r="N78" s="310">
        <v>205</v>
      </c>
      <c r="O78" s="310">
        <v>223</v>
      </c>
      <c r="P78" s="144">
        <v>18</v>
      </c>
      <c r="Q78" s="144"/>
      <c r="R78" s="83"/>
      <c r="S78" s="114">
        <f t="shared" si="5"/>
        <v>14.624040297355487</v>
      </c>
    </row>
    <row r="79" spans="2:19" ht="90" customHeight="1">
      <c r="B79" s="398"/>
      <c r="C79" s="509"/>
      <c r="D79" s="74" t="s">
        <v>41</v>
      </c>
      <c r="E79" s="180" t="s">
        <v>86</v>
      </c>
      <c r="F79" s="161"/>
      <c r="G79" s="99">
        <v>9</v>
      </c>
      <c r="H79" s="502"/>
      <c r="I79" s="475"/>
      <c r="J79" s="11"/>
      <c r="K79" s="483"/>
      <c r="L79" s="471"/>
      <c r="M79" s="131">
        <v>1372.67</v>
      </c>
      <c r="N79" s="304">
        <v>345</v>
      </c>
      <c r="O79" s="304">
        <v>372</v>
      </c>
      <c r="P79" s="83">
        <f t="shared" si="6"/>
        <v>27</v>
      </c>
      <c r="Q79" s="83"/>
      <c r="R79" s="83"/>
      <c r="S79" s="114">
        <f t="shared" si="5"/>
        <v>19.669694828327273</v>
      </c>
    </row>
    <row r="80" spans="2:19" ht="90" customHeight="1">
      <c r="B80" s="398"/>
      <c r="C80" s="509"/>
      <c r="D80" s="74" t="s">
        <v>42</v>
      </c>
      <c r="E80" s="180" t="s">
        <v>112</v>
      </c>
      <c r="F80" s="166"/>
      <c r="G80" s="99">
        <v>10</v>
      </c>
      <c r="H80" s="502"/>
      <c r="I80" s="475"/>
      <c r="J80" s="11"/>
      <c r="K80" s="483"/>
      <c r="L80" s="471"/>
      <c r="M80" s="131">
        <v>1563.35</v>
      </c>
      <c r="N80" s="310">
        <v>294</v>
      </c>
      <c r="O80" s="310">
        <v>315</v>
      </c>
      <c r="P80" s="83">
        <f t="shared" si="6"/>
        <v>21</v>
      </c>
      <c r="Q80" s="83"/>
      <c r="R80" s="83"/>
      <c r="S80" s="114">
        <f t="shared" si="5"/>
        <v>13.432692615217322</v>
      </c>
    </row>
    <row r="81" spans="2:19" ht="90" customHeight="1">
      <c r="B81" s="398"/>
      <c r="C81" s="509"/>
      <c r="D81" s="74" t="s">
        <v>43</v>
      </c>
      <c r="E81" s="180" t="s">
        <v>112</v>
      </c>
      <c r="F81" s="166"/>
      <c r="G81" s="99">
        <v>9</v>
      </c>
      <c r="H81" s="502"/>
      <c r="I81" s="475"/>
      <c r="J81" s="11"/>
      <c r="K81" s="483"/>
      <c r="L81" s="471"/>
      <c r="M81" s="131">
        <v>1480.88</v>
      </c>
      <c r="N81" s="310">
        <v>170</v>
      </c>
      <c r="O81" s="310">
        <v>177</v>
      </c>
      <c r="P81" s="83">
        <f t="shared" si="6"/>
        <v>7</v>
      </c>
      <c r="Q81" s="83"/>
      <c r="R81" s="83"/>
      <c r="S81" s="114">
        <f t="shared" si="5"/>
        <v>4.726919129166442</v>
      </c>
    </row>
    <row r="82" spans="2:19" ht="90" customHeight="1">
      <c r="B82" s="398"/>
      <c r="C82" s="509"/>
      <c r="D82" s="74" t="s">
        <v>44</v>
      </c>
      <c r="E82" s="180" t="s">
        <v>112</v>
      </c>
      <c r="F82" s="166"/>
      <c r="G82" s="99">
        <v>9</v>
      </c>
      <c r="H82" s="502"/>
      <c r="I82" s="475"/>
      <c r="J82" s="11"/>
      <c r="K82" s="483"/>
      <c r="L82" s="471"/>
      <c r="M82" s="131">
        <v>1371.13</v>
      </c>
      <c r="N82" s="310">
        <v>288</v>
      </c>
      <c r="O82" s="310">
        <v>310</v>
      </c>
      <c r="P82" s="83">
        <f t="shared" si="6"/>
        <v>22</v>
      </c>
      <c r="Q82" s="83"/>
      <c r="R82" s="83"/>
      <c r="S82" s="114">
        <f t="shared" si="5"/>
        <v>16.045159831671686</v>
      </c>
    </row>
    <row r="83" spans="2:19" ht="90" customHeight="1">
      <c r="B83" s="398"/>
      <c r="C83" s="509"/>
      <c r="D83" s="74" t="s">
        <v>45</v>
      </c>
      <c r="E83" s="180" t="s">
        <v>112</v>
      </c>
      <c r="F83" s="166"/>
      <c r="G83" s="99">
        <v>9</v>
      </c>
      <c r="H83" s="502"/>
      <c r="I83" s="475"/>
      <c r="J83" s="11"/>
      <c r="K83" s="483"/>
      <c r="L83" s="471"/>
      <c r="M83" s="131">
        <v>1377.64</v>
      </c>
      <c r="N83" s="310">
        <v>179</v>
      </c>
      <c r="O83" s="310">
        <v>196</v>
      </c>
      <c r="P83" s="83">
        <f t="shared" si="6"/>
        <v>17</v>
      </c>
      <c r="Q83" s="83"/>
      <c r="R83" s="83"/>
      <c r="S83" s="114">
        <f t="shared" si="5"/>
        <v>12.339943671786532</v>
      </c>
    </row>
    <row r="84" spans="2:19" ht="90" customHeight="1">
      <c r="B84" s="398"/>
      <c r="C84" s="509"/>
      <c r="D84" s="74" t="s">
        <v>46</v>
      </c>
      <c r="E84" s="180" t="s">
        <v>112</v>
      </c>
      <c r="F84" s="166"/>
      <c r="G84" s="99">
        <v>9</v>
      </c>
      <c r="H84" s="502"/>
      <c r="I84" s="475"/>
      <c r="J84" s="11"/>
      <c r="K84" s="483"/>
      <c r="L84" s="471"/>
      <c r="M84" s="131">
        <v>1400.08</v>
      </c>
      <c r="N84" s="310">
        <v>158</v>
      </c>
      <c r="O84" s="310">
        <v>168</v>
      </c>
      <c r="P84" s="83">
        <f t="shared" si="6"/>
        <v>10</v>
      </c>
      <c r="Q84" s="83"/>
      <c r="R84" s="83"/>
      <c r="S84" s="114">
        <f t="shared" si="5"/>
        <v>7.14244900291412</v>
      </c>
    </row>
    <row r="85" spans="2:19" ht="90" customHeight="1" thickBot="1">
      <c r="B85" s="398"/>
      <c r="C85" s="509"/>
      <c r="D85" s="67" t="s">
        <v>47</v>
      </c>
      <c r="E85" s="192" t="s">
        <v>112</v>
      </c>
      <c r="F85" s="167"/>
      <c r="G85" s="100">
        <v>9</v>
      </c>
      <c r="H85" s="502"/>
      <c r="I85" s="475"/>
      <c r="J85" s="298"/>
      <c r="K85" s="483"/>
      <c r="L85" s="471"/>
      <c r="M85" s="299">
        <v>1455.14</v>
      </c>
      <c r="N85" s="313">
        <v>221</v>
      </c>
      <c r="O85" s="313">
        <v>231</v>
      </c>
      <c r="P85" s="84">
        <f t="shared" si="6"/>
        <v>10</v>
      </c>
      <c r="Q85" s="84"/>
      <c r="R85" s="84"/>
      <c r="S85" s="114">
        <f t="shared" si="5"/>
        <v>6.872190991932047</v>
      </c>
    </row>
    <row r="86" spans="2:19" ht="90" customHeight="1" thickBot="1" thickTop="1">
      <c r="B86" s="398"/>
      <c r="C86" s="509"/>
      <c r="D86" s="407" t="s">
        <v>72</v>
      </c>
      <c r="E86" s="408"/>
      <c r="F86" s="163"/>
      <c r="G86" s="255">
        <f>SUM(G68:G85)-G75</f>
        <v>131</v>
      </c>
      <c r="H86" s="502"/>
      <c r="I86" s="475"/>
      <c r="J86" s="404">
        <f>SUM(M68:M85)</f>
        <v>21299.35</v>
      </c>
      <c r="K86" s="405"/>
      <c r="L86" s="405"/>
      <c r="M86" s="406"/>
      <c r="N86" s="94">
        <f>SUM(N68:N85)</f>
        <v>3609</v>
      </c>
      <c r="O86" s="94">
        <f>SUM(O68:O85)</f>
        <v>3876</v>
      </c>
      <c r="P86" s="93">
        <f>SUM(P68:P85)</f>
        <v>263.7052482186059</v>
      </c>
      <c r="Q86" s="472"/>
      <c r="R86" s="473"/>
      <c r="S86" s="118"/>
    </row>
    <row r="87" spans="2:19" ht="90" customHeight="1">
      <c r="B87" s="398"/>
      <c r="C87" s="427" t="s">
        <v>21</v>
      </c>
      <c r="D87" s="82" t="s">
        <v>22</v>
      </c>
      <c r="E87" s="175" t="s">
        <v>103</v>
      </c>
      <c r="F87" s="160"/>
      <c r="G87" s="104">
        <v>60</v>
      </c>
      <c r="H87" s="502"/>
      <c r="I87" s="475"/>
      <c r="J87" s="471"/>
      <c r="K87" s="483"/>
      <c r="L87" s="44"/>
      <c r="M87" s="134">
        <v>8252.8</v>
      </c>
      <c r="N87" s="468">
        <v>0</v>
      </c>
      <c r="O87" s="468">
        <v>87</v>
      </c>
      <c r="P87" s="223">
        <f>SUM((O87-N87)/8305.8*M87)</f>
        <v>86.44484577042549</v>
      </c>
      <c r="Q87" s="72"/>
      <c r="R87" s="72"/>
      <c r="S87" s="114">
        <f aca="true" t="shared" si="7" ref="S87:S95">1000*(R87+Q87+P87)/M87</f>
        <v>10.474608105179513</v>
      </c>
    </row>
    <row r="88" spans="2:19" ht="78.75" customHeight="1">
      <c r="B88" s="398"/>
      <c r="C88" s="359"/>
      <c r="D88" s="74" t="s">
        <v>53</v>
      </c>
      <c r="E88" s="180"/>
      <c r="F88" s="161"/>
      <c r="G88" s="99"/>
      <c r="H88" s="502"/>
      <c r="I88" s="475"/>
      <c r="J88" s="471"/>
      <c r="K88" s="483"/>
      <c r="L88" s="11"/>
      <c r="M88" s="135">
        <v>53</v>
      </c>
      <c r="N88" s="469"/>
      <c r="O88" s="469"/>
      <c r="P88" s="78"/>
      <c r="Q88" s="78"/>
      <c r="R88" s="257">
        <f>SUM((O87-N87)/8305.8*M88)</f>
        <v>0.5551542295745142</v>
      </c>
      <c r="S88" s="114">
        <f t="shared" si="7"/>
        <v>10.474608105179515</v>
      </c>
    </row>
    <row r="89" spans="2:19" ht="75" customHeight="1" thickBot="1">
      <c r="B89" s="398"/>
      <c r="C89" s="360"/>
      <c r="D89" s="66" t="s">
        <v>28</v>
      </c>
      <c r="E89" s="174"/>
      <c r="F89" s="168"/>
      <c r="G89" s="105"/>
      <c r="H89" s="502"/>
      <c r="I89" s="475"/>
      <c r="J89" s="492"/>
      <c r="K89" s="483"/>
      <c r="L89" s="47"/>
      <c r="M89" s="136">
        <v>0</v>
      </c>
      <c r="N89" s="470"/>
      <c r="O89" s="470"/>
      <c r="P89" s="88"/>
      <c r="Q89" s="88"/>
      <c r="R89" s="230">
        <f>SUM((O87-N87)/8358.8*M89)</f>
        <v>0</v>
      </c>
      <c r="S89" s="115">
        <v>0</v>
      </c>
    </row>
    <row r="90" spans="2:19" ht="90" customHeight="1" thickBot="1">
      <c r="B90" s="398"/>
      <c r="C90" s="506" t="s">
        <v>23</v>
      </c>
      <c r="D90" s="82" t="s">
        <v>102</v>
      </c>
      <c r="E90" s="175" t="s">
        <v>103</v>
      </c>
      <c r="F90" s="235" t="s">
        <v>124</v>
      </c>
      <c r="G90" s="104">
        <v>83</v>
      </c>
      <c r="H90" s="502"/>
      <c r="I90" s="475"/>
      <c r="J90" s="228"/>
      <c r="K90" s="483"/>
      <c r="L90" s="52"/>
      <c r="M90" s="236">
        <f>11793.04-M92</f>
        <v>11629.880000000001</v>
      </c>
      <c r="N90" s="468">
        <v>3842</v>
      </c>
      <c r="O90" s="468">
        <v>3986</v>
      </c>
      <c r="P90" s="249">
        <f>((O90-N90)/(M90+M91+M92))*M90</f>
        <v>140.48458757308592</v>
      </c>
      <c r="Q90" s="238"/>
      <c r="R90" s="238"/>
      <c r="S90" s="237">
        <f t="shared" si="7"/>
        <v>12.07962486053905</v>
      </c>
    </row>
    <row r="91" spans="2:19" ht="83.25" customHeight="1" thickBot="1">
      <c r="B91" s="398"/>
      <c r="C91" s="507"/>
      <c r="D91" s="74" t="s">
        <v>145</v>
      </c>
      <c r="E91" s="180" t="s">
        <v>103</v>
      </c>
      <c r="F91" s="295" t="s">
        <v>124</v>
      </c>
      <c r="G91" s="294">
        <v>1</v>
      </c>
      <c r="H91" s="502"/>
      <c r="I91" s="475"/>
      <c r="J91" s="11"/>
      <c r="K91" s="483"/>
      <c r="L91" s="51"/>
      <c r="M91" s="135">
        <v>127.86</v>
      </c>
      <c r="N91" s="469"/>
      <c r="O91" s="469"/>
      <c r="P91" s="78"/>
      <c r="Q91" s="78"/>
      <c r="R91" s="257">
        <f>(O90-N90)/(M90+M91+M92)*M91</f>
        <v>1.5445008346685232</v>
      </c>
      <c r="S91" s="114">
        <f t="shared" si="7"/>
        <v>12.07962486053905</v>
      </c>
    </row>
    <row r="92" spans="2:19" ht="83.25" customHeight="1" thickBot="1">
      <c r="B92" s="398"/>
      <c r="C92" s="508"/>
      <c r="D92" s="74" t="s">
        <v>144</v>
      </c>
      <c r="E92" s="180" t="s">
        <v>103</v>
      </c>
      <c r="F92" s="295" t="s">
        <v>124</v>
      </c>
      <c r="G92" s="102">
        <v>1</v>
      </c>
      <c r="H92" s="502"/>
      <c r="I92" s="475"/>
      <c r="J92" s="11"/>
      <c r="K92" s="483"/>
      <c r="L92" s="51"/>
      <c r="M92" s="293">
        <v>163.16</v>
      </c>
      <c r="N92" s="470"/>
      <c r="O92" s="470"/>
      <c r="P92" s="141"/>
      <c r="Q92" s="141"/>
      <c r="R92" s="256">
        <f>(O90-N90)/(M91+M92+M90)*M92</f>
        <v>1.9709115922455518</v>
      </c>
      <c r="S92" s="115">
        <f t="shared" si="7"/>
        <v>12.079624860539054</v>
      </c>
    </row>
    <row r="93" spans="2:19" ht="75" customHeight="1" thickBot="1">
      <c r="B93" s="398"/>
      <c r="C93" s="61" t="s">
        <v>24</v>
      </c>
      <c r="D93" s="62" t="s">
        <v>101</v>
      </c>
      <c r="E93" s="173" t="s">
        <v>103</v>
      </c>
      <c r="F93" s="164"/>
      <c r="G93" s="101">
        <v>70</v>
      </c>
      <c r="H93" s="502"/>
      <c r="I93" s="475"/>
      <c r="J93" s="45"/>
      <c r="K93" s="483"/>
      <c r="L93" s="50"/>
      <c r="M93" s="137">
        <v>10017.91</v>
      </c>
      <c r="N93" s="314">
        <v>4506</v>
      </c>
      <c r="O93" s="314">
        <v>4684</v>
      </c>
      <c r="P93" s="69">
        <f>O93-N93</f>
        <v>178</v>
      </c>
      <c r="Q93" s="69"/>
      <c r="R93" s="69"/>
      <c r="S93" s="113">
        <f t="shared" si="7"/>
        <v>17.76817719464439</v>
      </c>
    </row>
    <row r="94" spans="2:19" s="29" customFormat="1" ht="90" customHeight="1" thickBot="1">
      <c r="B94" s="398"/>
      <c r="C94" s="514" t="s">
        <v>129</v>
      </c>
      <c r="D94" s="515"/>
      <c r="E94" s="250" t="s">
        <v>86</v>
      </c>
      <c r="F94" s="251"/>
      <c r="G94" s="183"/>
      <c r="H94" s="502"/>
      <c r="I94" s="475"/>
      <c r="J94" s="37"/>
      <c r="K94" s="483"/>
      <c r="L94" s="252"/>
      <c r="M94" s="253">
        <v>21011</v>
      </c>
      <c r="N94" s="315">
        <v>2898</v>
      </c>
      <c r="O94" s="315">
        <v>3112</v>
      </c>
      <c r="P94" s="89"/>
      <c r="Q94" s="141">
        <f>O94-N94</f>
        <v>214</v>
      </c>
      <c r="R94" s="141"/>
      <c r="S94" s="254">
        <f t="shared" si="7"/>
        <v>10.185141116557993</v>
      </c>
    </row>
    <row r="95" spans="2:19" ht="75" customHeight="1" thickBot="1">
      <c r="B95" s="398"/>
      <c r="C95" s="411" t="s">
        <v>105</v>
      </c>
      <c r="D95" s="412"/>
      <c r="E95" s="190" t="s">
        <v>86</v>
      </c>
      <c r="F95" s="169"/>
      <c r="G95" s="107"/>
      <c r="H95" s="502"/>
      <c r="I95" s="475"/>
      <c r="J95" s="46"/>
      <c r="K95" s="484"/>
      <c r="L95" s="49"/>
      <c r="M95" s="138">
        <v>2156</v>
      </c>
      <c r="N95" s="316">
        <v>692</v>
      </c>
      <c r="O95" s="316">
        <v>724</v>
      </c>
      <c r="P95" s="90"/>
      <c r="Q95" s="90">
        <f>O95-N95</f>
        <v>32</v>
      </c>
      <c r="R95" s="90"/>
      <c r="S95" s="209">
        <f t="shared" si="7"/>
        <v>14.84230055658627</v>
      </c>
    </row>
    <row r="96" spans="2:19" ht="97.5" customHeight="1" thickBot="1" thickTop="1">
      <c r="B96" s="399"/>
      <c r="C96" s="512" t="s">
        <v>94</v>
      </c>
      <c r="D96" s="329"/>
      <c r="E96" s="329"/>
      <c r="F96" s="139"/>
      <c r="G96" s="108">
        <f>G60+G63+G64+G65+G66+G86+G87+G91+G93+G90</f>
        <v>700</v>
      </c>
      <c r="H96" s="502"/>
      <c r="I96" s="476"/>
      <c r="J96" s="497">
        <f>SUM(M49:M95)</f>
        <v>127439.94000000002</v>
      </c>
      <c r="K96" s="498"/>
      <c r="L96" s="498"/>
      <c r="M96" s="499"/>
      <c r="N96" s="91">
        <f>N48+N60+N63+N64+N65+N66+N86+N87+N90+N93+N94+N95</f>
        <v>33310.5</v>
      </c>
      <c r="O96" s="91">
        <f>O48+O60+O63+O64+O65+O66+O86+O87+O90+O93+O94+O95</f>
        <v>35100.5</v>
      </c>
      <c r="P96" s="91">
        <f>P60+P63+P64+P65+P66+P86+P87+P90+P93</f>
        <v>1530.2069292685392</v>
      </c>
      <c r="Q96" s="91">
        <f>Q95+Q94</f>
        <v>246</v>
      </c>
      <c r="R96" s="91">
        <f>R50+R67+R75+R88+R89+R91+R92</f>
        <v>13.793070731460654</v>
      </c>
      <c r="S96" s="116">
        <f>1000*(P96+Q96+R96)/J96</f>
        <v>14.04583209941875</v>
      </c>
    </row>
    <row r="97" spans="2:19" ht="12.75" customHeight="1">
      <c r="B97" s="400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</row>
    <row r="98" spans="2:19" s="29" customFormat="1" ht="8.25" customHeight="1">
      <c r="B98" s="22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3:19" s="2" customFormat="1" ht="69.75" customHeight="1">
      <c r="C99" s="32"/>
      <c r="E99" s="194" t="s">
        <v>115</v>
      </c>
      <c r="F99" s="195">
        <f>J96+J44+J24-F100-F102</f>
        <v>195651.76</v>
      </c>
      <c r="G99" s="193" t="s">
        <v>121</v>
      </c>
      <c r="H99" s="33"/>
      <c r="I99" s="33"/>
      <c r="J99" s="33"/>
      <c r="K99" s="33"/>
      <c r="L99" s="33"/>
      <c r="N99" s="259" t="s">
        <v>132</v>
      </c>
      <c r="O99" s="260"/>
      <c r="P99" s="260"/>
      <c r="Q99" s="261"/>
      <c r="R99" s="262"/>
      <c r="S99" s="318">
        <f>P24+P44+P96</f>
        <v>2658.0027911054513</v>
      </c>
    </row>
    <row r="100" spans="3:19" s="2" customFormat="1" ht="69.75" customHeight="1">
      <c r="C100" s="34"/>
      <c r="E100" s="196" t="s">
        <v>122</v>
      </c>
      <c r="F100" s="197">
        <f>M95+M94+M43+M41+M36+M42</f>
        <v>29164.76</v>
      </c>
      <c r="G100" s="193" t="s">
        <v>121</v>
      </c>
      <c r="H100" s="33"/>
      <c r="I100" s="33"/>
      <c r="J100" s="33"/>
      <c r="K100" s="33"/>
      <c r="L100" s="33"/>
      <c r="N100" s="263" t="s">
        <v>133</v>
      </c>
      <c r="O100" s="264"/>
      <c r="P100" s="265"/>
      <c r="Q100" s="266" t="s">
        <v>134</v>
      </c>
      <c r="R100" s="319">
        <f>Q24+Q44+Q96</f>
        <v>355.1405640562644</v>
      </c>
      <c r="S100" s="267"/>
    </row>
    <row r="101" spans="3:19" s="2" customFormat="1" ht="69.75" customHeight="1">
      <c r="C101" s="34"/>
      <c r="E101" s="196"/>
      <c r="F101" s="197"/>
      <c r="G101" s="193"/>
      <c r="H101" s="33"/>
      <c r="I101" s="33"/>
      <c r="J101" s="33"/>
      <c r="K101" s="33"/>
      <c r="L101" s="33"/>
      <c r="N101" s="268"/>
      <c r="O101" s="269"/>
      <c r="P101" s="27"/>
      <c r="Q101" s="270" t="s">
        <v>135</v>
      </c>
      <c r="R101" s="300"/>
      <c r="S101" s="271"/>
    </row>
    <row r="102" spans="3:19" s="2" customFormat="1" ht="69.75" customHeight="1" thickBot="1">
      <c r="C102" s="34"/>
      <c r="D102" s="207"/>
      <c r="E102" s="204" t="s">
        <v>123</v>
      </c>
      <c r="F102" s="205">
        <f>M89+M88+M39+M38+M37+M21+M91+M92+M75+M67+M50+M23+M19</f>
        <v>3190.47</v>
      </c>
      <c r="G102" s="206" t="s">
        <v>121</v>
      </c>
      <c r="H102" s="33"/>
      <c r="I102" s="33"/>
      <c r="J102" s="33"/>
      <c r="K102" s="33"/>
      <c r="L102" s="33"/>
      <c r="N102" s="272"/>
      <c r="O102" s="273"/>
      <c r="P102" s="207"/>
      <c r="Q102" s="274" t="s">
        <v>136</v>
      </c>
      <c r="R102" s="320">
        <f>R24+R44+R96</f>
        <v>36.856644838283955</v>
      </c>
      <c r="S102" s="275"/>
    </row>
    <row r="103" spans="3:19" s="2" customFormat="1" ht="69.75" customHeight="1" thickTop="1">
      <c r="C103" s="34"/>
      <c r="D103" s="7"/>
      <c r="E103" s="198" t="s">
        <v>127</v>
      </c>
      <c r="F103" s="199">
        <f>F99+F100+F102</f>
        <v>228006.99000000002</v>
      </c>
      <c r="G103" s="193" t="s">
        <v>121</v>
      </c>
      <c r="H103" s="33"/>
      <c r="I103" s="33"/>
      <c r="J103" s="33"/>
      <c r="K103" s="33"/>
      <c r="L103" s="33"/>
      <c r="N103" s="276"/>
      <c r="O103" s="269"/>
      <c r="P103" s="277"/>
      <c r="Q103" s="278" t="s">
        <v>137</v>
      </c>
      <c r="S103" s="279">
        <f>S99+R100+R101+R102</f>
        <v>3049.9999999999995</v>
      </c>
    </row>
    <row r="104" spans="8:16" s="7" customFormat="1" ht="12" customHeight="1">
      <c r="H104" s="35"/>
      <c r="I104" s="35"/>
      <c r="J104" s="35"/>
      <c r="K104" s="35"/>
      <c r="L104" s="35"/>
      <c r="M104" s="26"/>
      <c r="N104" s="280"/>
      <c r="O104" s="280"/>
      <c r="P104" s="281"/>
    </row>
    <row r="105" spans="3:19" s="7" customFormat="1" ht="54.75" customHeight="1">
      <c r="C105" s="1"/>
      <c r="E105" s="200" t="s">
        <v>110</v>
      </c>
      <c r="F105" s="201">
        <f>G96+G44+G24</f>
        <v>1415</v>
      </c>
      <c r="G105" s="203" t="s">
        <v>58</v>
      </c>
      <c r="H105" s="35"/>
      <c r="I105" s="35"/>
      <c r="J105" s="35"/>
      <c r="K105" s="35"/>
      <c r="L105" s="35"/>
      <c r="M105" s="282" t="s">
        <v>138</v>
      </c>
      <c r="O105" s="283"/>
      <c r="P105" s="284"/>
      <c r="Q105" s="284"/>
      <c r="R105" s="284"/>
      <c r="S105" s="15"/>
    </row>
    <row r="106" spans="3:19" s="3" customFormat="1" ht="54.75" customHeight="1">
      <c r="C106" s="13"/>
      <c r="E106" s="200" t="s">
        <v>116</v>
      </c>
      <c r="F106" s="202">
        <v>27</v>
      </c>
      <c r="G106" s="203" t="s">
        <v>58</v>
      </c>
      <c r="H106" s="33"/>
      <c r="I106" s="33"/>
      <c r="J106" s="33"/>
      <c r="K106" s="33"/>
      <c r="L106" s="33"/>
      <c r="M106" s="13"/>
      <c r="N106" s="283"/>
      <c r="P106" s="284"/>
      <c r="Q106" s="279" t="s">
        <v>132</v>
      </c>
      <c r="R106" s="285">
        <f>1000*S99/F99</f>
        <v>13.585376339601805</v>
      </c>
      <c r="S106" s="286" t="s">
        <v>109</v>
      </c>
    </row>
    <row r="107" spans="3:19" ht="54.75" customHeight="1">
      <c r="C107" s="13"/>
      <c r="H107" s="14"/>
      <c r="I107" s="14"/>
      <c r="J107" s="14"/>
      <c r="K107" s="14"/>
      <c r="L107" s="14"/>
      <c r="N107" s="287" t="s">
        <v>133</v>
      </c>
      <c r="P107" s="288"/>
      <c r="Q107" s="289" t="s">
        <v>134</v>
      </c>
      <c r="R107" s="285">
        <f>1000*R100/F100</f>
        <v>12.177043941258711</v>
      </c>
      <c r="S107" s="286" t="s">
        <v>109</v>
      </c>
    </row>
    <row r="108" spans="3:19" ht="54.75" customHeight="1">
      <c r="C108" s="222" t="s">
        <v>111</v>
      </c>
      <c r="D108" s="36"/>
      <c r="E108" s="36"/>
      <c r="F108" s="36"/>
      <c r="G108" s="36"/>
      <c r="H108" s="13"/>
      <c r="I108" s="13"/>
      <c r="J108" s="13"/>
      <c r="K108" s="13"/>
      <c r="L108" s="13"/>
      <c r="M108" s="13"/>
      <c r="N108" s="290"/>
      <c r="O108" s="269"/>
      <c r="P108" s="277"/>
      <c r="Q108" s="279" t="s">
        <v>136</v>
      </c>
      <c r="R108" s="285">
        <f>1000*R102/F102</f>
        <v>11.552105125039246</v>
      </c>
      <c r="S108" s="286" t="s">
        <v>109</v>
      </c>
    </row>
    <row r="109" spans="3:18" ht="54.75" customHeight="1">
      <c r="C109" s="505" t="s">
        <v>141</v>
      </c>
      <c r="D109" s="505"/>
      <c r="E109" s="505"/>
      <c r="F109" s="505"/>
      <c r="G109" s="505"/>
      <c r="H109" s="14"/>
      <c r="I109" s="14"/>
      <c r="J109" s="14"/>
      <c r="K109" s="14"/>
      <c r="L109" s="14"/>
      <c r="M109" s="36"/>
      <c r="N109" s="36"/>
      <c r="O109" s="36"/>
      <c r="P109" s="36"/>
      <c r="Q109" s="56"/>
      <c r="R109" s="36"/>
    </row>
    <row r="110" spans="3:13" ht="27">
      <c r="C110" s="505"/>
      <c r="D110" s="505"/>
      <c r="E110" s="505"/>
      <c r="F110" s="505"/>
      <c r="G110" s="505"/>
      <c r="H110" s="13"/>
      <c r="I110" s="13"/>
      <c r="J110" s="13"/>
      <c r="K110" s="13"/>
      <c r="L110" s="13"/>
      <c r="M110" s="36"/>
    </row>
    <row r="111" spans="8:17" ht="45.75" customHeight="1">
      <c r="H111" s="36"/>
      <c r="I111" s="36"/>
      <c r="J111" s="36"/>
      <c r="K111" s="36"/>
      <c r="L111" s="36"/>
      <c r="M111" s="13"/>
      <c r="N111" s="36"/>
      <c r="O111" s="36"/>
      <c r="P111" s="36"/>
      <c r="Q111" s="36"/>
    </row>
    <row r="112" spans="5:19" ht="42" customHeight="1">
      <c r="E112" s="148"/>
      <c r="F112" s="148"/>
      <c r="H112" s="36"/>
      <c r="I112" s="36"/>
      <c r="J112" s="36"/>
      <c r="K112" s="36"/>
      <c r="L112" s="36"/>
      <c r="M112" s="13"/>
      <c r="N112" s="13"/>
      <c r="O112" s="58"/>
      <c r="P112" s="19"/>
      <c r="Q112" s="19"/>
      <c r="R112" s="491"/>
      <c r="S112" s="491"/>
    </row>
    <row r="113" spans="3:19" ht="34.5">
      <c r="C113" s="13"/>
      <c r="D113" s="13"/>
      <c r="E113" s="148"/>
      <c r="F113" s="148"/>
      <c r="G113" s="12"/>
      <c r="H113" s="13"/>
      <c r="I113" s="13"/>
      <c r="J113" s="13"/>
      <c r="K113" s="13"/>
      <c r="L113" s="13"/>
      <c r="M113" s="15"/>
      <c r="N113" s="18"/>
      <c r="O113" s="18"/>
      <c r="P113" s="21"/>
      <c r="Q113" s="21"/>
      <c r="R113" s="481"/>
      <c r="S113" s="481"/>
    </row>
    <row r="114" spans="4:12" ht="33.75" customHeight="1">
      <c r="D114" s="13"/>
      <c r="E114" s="148"/>
      <c r="F114" s="148"/>
      <c r="G114" s="12"/>
      <c r="H114" s="14"/>
      <c r="I114" s="14"/>
      <c r="J114" s="14"/>
      <c r="K114" s="14"/>
      <c r="L114" s="16"/>
    </row>
    <row r="115" spans="4:12" ht="36" customHeight="1">
      <c r="D115" s="13"/>
      <c r="E115" s="13"/>
      <c r="F115" s="13"/>
      <c r="G115" s="12"/>
      <c r="H115" s="14"/>
      <c r="I115" s="14"/>
      <c r="J115" s="14"/>
      <c r="K115" s="14"/>
      <c r="L115" s="16"/>
    </row>
    <row r="116" spans="4:12" ht="36" customHeight="1">
      <c r="D116" s="13"/>
      <c r="E116" s="13"/>
      <c r="F116" s="13"/>
      <c r="G116" s="12"/>
      <c r="H116" s="14"/>
      <c r="I116" s="14"/>
      <c r="J116" s="14"/>
      <c r="K116" s="14"/>
      <c r="L116" s="16"/>
    </row>
    <row r="117" spans="3:12" ht="37.5" customHeight="1">
      <c r="C117" s="12"/>
      <c r="D117" s="13"/>
      <c r="E117" s="13"/>
      <c r="F117" s="13"/>
      <c r="G117" s="57"/>
      <c r="H117" s="14"/>
      <c r="I117" s="14"/>
      <c r="J117" s="14"/>
      <c r="K117" s="14"/>
      <c r="L117" s="16"/>
    </row>
    <row r="118" spans="3:12" ht="33.75" customHeight="1">
      <c r="C118" s="12"/>
      <c r="D118" s="13"/>
      <c r="E118" s="13"/>
      <c r="F118" s="13"/>
      <c r="G118" s="12"/>
      <c r="H118" s="14"/>
      <c r="I118" s="14"/>
      <c r="J118" s="14"/>
      <c r="K118" s="14"/>
      <c r="L118" s="14"/>
    </row>
    <row r="119" spans="3:12" ht="27">
      <c r="C119" s="12"/>
      <c r="D119" s="13"/>
      <c r="E119" s="13"/>
      <c r="F119" s="13"/>
      <c r="G119" s="12"/>
      <c r="H119" s="14"/>
      <c r="I119" s="14"/>
      <c r="J119" s="14"/>
      <c r="K119" s="14"/>
      <c r="L119" s="14"/>
    </row>
  </sheetData>
  <sheetProtection/>
  <mergeCells count="115">
    <mergeCell ref="C66:C67"/>
    <mergeCell ref="E66:E67"/>
    <mergeCell ref="F66:F67"/>
    <mergeCell ref="C96:E96"/>
    <mergeCell ref="D63:E63"/>
    <mergeCell ref="C94:D94"/>
    <mergeCell ref="F74:F75"/>
    <mergeCell ref="C109:G110"/>
    <mergeCell ref="C90:C92"/>
    <mergeCell ref="N90:N92"/>
    <mergeCell ref="O90:O92"/>
    <mergeCell ref="Q63:R63"/>
    <mergeCell ref="C87:C89"/>
    <mergeCell ref="C68:C86"/>
    <mergeCell ref="K87:K95"/>
    <mergeCell ref="D86:E86"/>
    <mergeCell ref="C61:C63"/>
    <mergeCell ref="N74:N75"/>
    <mergeCell ref="S74:S75"/>
    <mergeCell ref="J96:M96"/>
    <mergeCell ref="J63:M63"/>
    <mergeCell ref="E74:E75"/>
    <mergeCell ref="H48:H96"/>
    <mergeCell ref="J48:J59"/>
    <mergeCell ref="Q86:R86"/>
    <mergeCell ref="O49:O50"/>
    <mergeCell ref="S66:S67"/>
    <mergeCell ref="R113:S113"/>
    <mergeCell ref="K48:K59"/>
    <mergeCell ref="O66:O67"/>
    <mergeCell ref="O74:O75"/>
    <mergeCell ref="J60:M60"/>
    <mergeCell ref="N49:N50"/>
    <mergeCell ref="R112:S112"/>
    <mergeCell ref="J87:J89"/>
    <mergeCell ref="K64:K85"/>
    <mergeCell ref="L61:L62"/>
    <mergeCell ref="C49:C60"/>
    <mergeCell ref="C44:E44"/>
    <mergeCell ref="O87:O89"/>
    <mergeCell ref="L68:L85"/>
    <mergeCell ref="N87:N89"/>
    <mergeCell ref="Q60:R60"/>
    <mergeCell ref="I48:I96"/>
    <mergeCell ref="E48:F48"/>
    <mergeCell ref="N66:N67"/>
    <mergeCell ref="C47:S47"/>
    <mergeCell ref="C24:E24"/>
    <mergeCell ref="C45:S45"/>
    <mergeCell ref="J41:J43"/>
    <mergeCell ref="C43:D43"/>
    <mergeCell ref="H28:H44"/>
    <mergeCell ref="S35:S40"/>
    <mergeCell ref="N35:N40"/>
    <mergeCell ref="K28:K43"/>
    <mergeCell ref="K14:K23"/>
    <mergeCell ref="J35:J40"/>
    <mergeCell ref="S22:S23"/>
    <mergeCell ref="O35:O40"/>
    <mergeCell ref="C25:S25"/>
    <mergeCell ref="B26:S26"/>
    <mergeCell ref="C27:S27"/>
    <mergeCell ref="B27:B45"/>
    <mergeCell ref="J24:M24"/>
    <mergeCell ref="O22:O23"/>
    <mergeCell ref="C97:S97"/>
    <mergeCell ref="J44:M44"/>
    <mergeCell ref="K61:K62"/>
    <mergeCell ref="S8:S9"/>
    <mergeCell ref="B11:S11"/>
    <mergeCell ref="E8:E10"/>
    <mergeCell ref="C18:C19"/>
    <mergeCell ref="Q8:R8"/>
    <mergeCell ref="P8:P9"/>
    <mergeCell ref="P40:R40"/>
    <mergeCell ref="I14:I24"/>
    <mergeCell ref="L22:L23"/>
    <mergeCell ref="B47:B97"/>
    <mergeCell ref="L35:L40"/>
    <mergeCell ref="I28:I44"/>
    <mergeCell ref="J86:M86"/>
    <mergeCell ref="D60:E60"/>
    <mergeCell ref="D40:E40"/>
    <mergeCell ref="C35:C40"/>
    <mergeCell ref="C95:D95"/>
    <mergeCell ref="N6:R6"/>
    <mergeCell ref="P7:R7"/>
    <mergeCell ref="B13:B24"/>
    <mergeCell ref="C13:S13"/>
    <mergeCell ref="L20:L21"/>
    <mergeCell ref="J22:J23"/>
    <mergeCell ref="N22:N23"/>
    <mergeCell ref="H14:H24"/>
    <mergeCell ref="N18:N19"/>
    <mergeCell ref="E18:E19"/>
    <mergeCell ref="C20:C21"/>
    <mergeCell ref="C22:C23"/>
    <mergeCell ref="B4:S4"/>
    <mergeCell ref="S6:S7"/>
    <mergeCell ref="O18:O19"/>
    <mergeCell ref="J20:J21"/>
    <mergeCell ref="N7:O7"/>
    <mergeCell ref="B5:S5"/>
    <mergeCell ref="D6:D7"/>
    <mergeCell ref="B12:S12"/>
    <mergeCell ref="B3:P3"/>
    <mergeCell ref="E6:M7"/>
    <mergeCell ref="D8:D10"/>
    <mergeCell ref="H8:M9"/>
    <mergeCell ref="H10:M10"/>
    <mergeCell ref="O8:O9"/>
    <mergeCell ref="F8:F10"/>
    <mergeCell ref="N8:N9"/>
    <mergeCell ref="G8:G9"/>
    <mergeCell ref="B6:C10"/>
  </mergeCells>
  <printOptions/>
  <pageMargins left="0.2362204724409449" right="0.21" top="0.15748031496062992" bottom="0.11811023622047245" header="0.03937007874015748" footer="0.0787401574803149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2017-04-04T06:38:34Z</cp:lastPrinted>
  <dcterms:created xsi:type="dcterms:W3CDTF">2001-01-29T17:32:50Z</dcterms:created>
  <dcterms:modified xsi:type="dcterms:W3CDTF">2019-04-17T08:20:11Z</dcterms:modified>
  <cp:category/>
  <cp:version/>
  <cp:contentType/>
  <cp:contentStatus/>
</cp:coreProperties>
</file>