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lakás adatok" sheetId="1" r:id="rId1"/>
  </sheets>
  <definedNames>
    <definedName name="_xlnm.Print_Area" localSheetId="0">'lakás adatok'!$A$1:$S$100</definedName>
  </definedNames>
  <calcPr fullCalcOnLoad="1"/>
</workbook>
</file>

<file path=xl/sharedStrings.xml><?xml version="1.0" encoding="utf-8"?>
<sst xmlns="http://schemas.openxmlformats.org/spreadsheetml/2006/main" count="207" uniqueCount="133">
  <si>
    <t>A</t>
  </si>
  <si>
    <t>B</t>
  </si>
  <si>
    <t>C</t>
  </si>
  <si>
    <t>D I</t>
  </si>
  <si>
    <t>D II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</si>
  <si>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</si>
  <si>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</si>
  <si>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</si>
  <si>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</si>
  <si>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</si>
  <si>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</si>
  <si>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</si>
  <si>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</si>
  <si>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</si>
  <si>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</si>
  <si>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A2</t>
  </si>
  <si>
    <t>Károly u. 24-34.</t>
  </si>
  <si>
    <t>B2</t>
  </si>
  <si>
    <t>Károly u. 16-22.</t>
  </si>
  <si>
    <t>C2</t>
  </si>
  <si>
    <t>Károly u. 2-14.</t>
  </si>
  <si>
    <t>E2</t>
  </si>
  <si>
    <t>Fehérviz 2-8</t>
  </si>
  <si>
    <t>F2</t>
  </si>
  <si>
    <t>D3</t>
  </si>
  <si>
    <t>Fodrászat</t>
  </si>
  <si>
    <t>Fogorvos</t>
  </si>
  <si>
    <t>I. ÜTEM</t>
  </si>
  <si>
    <t>Kozmetika</t>
  </si>
  <si>
    <t>Könyvtár</t>
  </si>
  <si>
    <t>Könyvesbolt</t>
  </si>
  <si>
    <t>Galóca</t>
  </si>
  <si>
    <t>Gyógyszertár</t>
  </si>
  <si>
    <t>Radnóti u. 1.</t>
  </si>
  <si>
    <t>Radnóti u. 2.</t>
  </si>
  <si>
    <t>Radnóti u. 3.</t>
  </si>
  <si>
    <t>Radnóti u. 4.</t>
  </si>
  <si>
    <t>Radnóti u. 5.</t>
  </si>
  <si>
    <t>Radnóti u. 6.</t>
  </si>
  <si>
    <t>Radnóti u. 7.</t>
  </si>
  <si>
    <t>Radnóti u. 8.</t>
  </si>
  <si>
    <t>Radnóti u. 9.</t>
  </si>
  <si>
    <t>Radnóti u. 10.</t>
  </si>
  <si>
    <t>Radnóti u. 11.</t>
  </si>
  <si>
    <t>Radnóti u. 12.</t>
  </si>
  <si>
    <t>Radnóti u. 13</t>
  </si>
  <si>
    <t>Radnóti u. 14.</t>
  </si>
  <si>
    <t>Radnóti u. 15.</t>
  </si>
  <si>
    <t>Kálvária u. 59</t>
  </si>
  <si>
    <t>Kálvária u. 57.</t>
  </si>
  <si>
    <t>Kálvária u. 61.</t>
  </si>
  <si>
    <t>Kálvária u. 65.</t>
  </si>
  <si>
    <t>Kálvária u. 67.</t>
  </si>
  <si>
    <t>Pedi Stúdió</t>
  </si>
  <si>
    <t>Fűtési rendszer</t>
  </si>
  <si>
    <t>Helyszínek</t>
  </si>
  <si>
    <t>CÍM</t>
  </si>
  <si>
    <t>légtérfogat</t>
  </si>
  <si>
    <t>db</t>
  </si>
  <si>
    <t xml:space="preserve"> GJ</t>
  </si>
  <si>
    <t>fogyasztás</t>
  </si>
  <si>
    <t xml:space="preserve">előző </t>
  </si>
  <si>
    <t>mérőállás</t>
  </si>
  <si>
    <t xml:space="preserve">záró </t>
  </si>
  <si>
    <t>lakossági</t>
  </si>
  <si>
    <t>nem lakossági</t>
  </si>
  <si>
    <t>Hődíj :</t>
  </si>
  <si>
    <t>Hőfelhasználás</t>
  </si>
  <si>
    <t>MÉRT Hőfogyasztások</t>
  </si>
  <si>
    <t>ADATOK</t>
  </si>
  <si>
    <t xml:space="preserve">légtérre fajlagos </t>
  </si>
  <si>
    <t>I.   Ü T  E  M</t>
  </si>
  <si>
    <t>Hőfogadókban mért összesen :</t>
  </si>
  <si>
    <t xml:space="preserve"> III. ÜTEM</t>
  </si>
  <si>
    <t>Széchenyi tér 29-30-31</t>
  </si>
  <si>
    <t>Széchenyi tér 32-33</t>
  </si>
  <si>
    <t>Széchenyi tér 19-20-21</t>
  </si>
  <si>
    <t>Széchenyi tér 16-17-18</t>
  </si>
  <si>
    <t>Széchenyi tér 13-14-15</t>
  </si>
  <si>
    <t>Széchenyi tér 11-12</t>
  </si>
  <si>
    <t>Széchenyi tér 8-9-10</t>
  </si>
  <si>
    <t>Széchenyi tér 2-7</t>
  </si>
  <si>
    <t>II.   Ü T  E  M</t>
  </si>
  <si>
    <t>7 db hőközpont ÖSSZESEN :</t>
  </si>
  <si>
    <t>III.   Ü T  E  M</t>
  </si>
  <si>
    <t>9 db hőközpont ÖSSZESEN :</t>
  </si>
  <si>
    <t>kétcsöves</t>
  </si>
  <si>
    <t>Hamvas Béla u. 11-15</t>
  </si>
  <si>
    <t>Hamvas Béla u.  3-9</t>
  </si>
  <si>
    <t>Hamvas Béla u. 20-30</t>
  </si>
  <si>
    <t>Hamvas Béla u. 42-48</t>
  </si>
  <si>
    <t>Hamvas Béla u. 32-40</t>
  </si>
  <si>
    <t>Hamvas Béla u. 12-18</t>
  </si>
  <si>
    <t>Hamvas Béla u.  2-10</t>
  </si>
  <si>
    <t>11 db hőközpont ÖSSZESEN :</t>
  </si>
  <si>
    <t>Kondor Béla u. 3.</t>
  </si>
  <si>
    <t>Kondor Béla u. 5.</t>
  </si>
  <si>
    <t>Kondor Béla u. 7.</t>
  </si>
  <si>
    <t>Kondor Béla u. 9.</t>
  </si>
  <si>
    <t>Kondor Béla u. 11.</t>
  </si>
  <si>
    <t>Kondor Béla u. 13.</t>
  </si>
  <si>
    <t>Fehérvíz utca 20-30</t>
  </si>
  <si>
    <t>egycsöves</t>
  </si>
  <si>
    <t>N hőközpont összesen:</t>
  </si>
  <si>
    <t>Lászlótelepi Óvoda (Forfa)</t>
  </si>
  <si>
    <t>Bölcsőde (főmérő)</t>
  </si>
  <si>
    <t>Óvoda (almérő)</t>
  </si>
  <si>
    <t>m3</t>
  </si>
  <si>
    <t>MJ/m3</t>
  </si>
  <si>
    <t>kétcsöves termoszelepes</t>
  </si>
  <si>
    <r>
      <t>R   (M,N,O)</t>
    </r>
  </si>
  <si>
    <t>Üzleti, egyéb</t>
  </si>
  <si>
    <t>műszaki változás, jellemzők</t>
  </si>
  <si>
    <t>laká-sok száma</t>
  </si>
  <si>
    <t>KK-i intéz-mények</t>
  </si>
  <si>
    <t>hőszigetelés</t>
  </si>
  <si>
    <t>termofejes szelep új hőcserélő</t>
  </si>
  <si>
    <t>HŐKÖZPONT betűJELE</t>
  </si>
  <si>
    <t>Szmolnyica sétány 7. (garázs)</t>
  </si>
  <si>
    <t xml:space="preserve">Kondor Béla u. 26 </t>
  </si>
  <si>
    <t xml:space="preserve">Barcsay Általános Iskola </t>
  </si>
  <si>
    <t>A32</t>
  </si>
  <si>
    <t xml:space="preserve">HŐKÖZPONTOKBAN és HŐFOGADÓKNÁL MÉRT HÖFELHASZNÁLÁS </t>
  </si>
  <si>
    <t>Egyedi szerződéssel (tél 1, nyár 0,5)</t>
  </si>
  <si>
    <t>Óvoda (almérő 2) Konténer</t>
  </si>
  <si>
    <t>2018. Március</t>
  </si>
  <si>
    <t xml:space="preserve"> 15/7 </t>
  </si>
  <si>
    <t xml:space="preserve">Fehérvíz 24/4 </t>
  </si>
  <si>
    <t xml:space="preserve">Fehérvíz 20/2 </t>
  </si>
  <si>
    <t xml:space="preserve">Radnóti 8. </t>
  </si>
  <si>
    <t>Radnóti u. 6./7.</t>
  </si>
  <si>
    <t xml:space="preserve">Radnóti u. 1/7 </t>
  </si>
  <si>
    <t xml:space="preserve">Károly utca 12./11. </t>
  </si>
</sst>
</file>

<file path=xl/styles.xml><?xml version="1.0" encoding="utf-8"?>
<styleSheet xmlns="http://schemas.openxmlformats.org/spreadsheetml/2006/main">
  <numFmts count="6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0"/>
    <numFmt numFmtId="167" formatCode="0.0000"/>
    <numFmt numFmtId="168" formatCode="0.00000%"/>
    <numFmt numFmtId="169" formatCode="General_)"/>
    <numFmt numFmtId="170" formatCode="0.00_)"/>
    <numFmt numFmtId="171" formatCode="0_)"/>
    <numFmt numFmtId="172" formatCode="#,##0.00\ &quot;Ft&quot;"/>
    <numFmt numFmtId="173" formatCode="#,##0\ &quot;Ft&quot;"/>
    <numFmt numFmtId="174" formatCode="0.0%"/>
    <numFmt numFmtId="175" formatCode="_-* #,##0.000\ _F_t_-;\-* #,##0.000\ _F_t_-;_-* &quot;-&quot;??\ _F_t_-;_-@_-"/>
    <numFmt numFmtId="176" formatCode="_(* #,##0_);_(* \(#,##0\);_(* &quot;-&quot;??_);_(@_)"/>
    <numFmt numFmtId="177" formatCode="#,##0_ ;[Red]\-#,##0\ "/>
    <numFmt numFmtId="178" formatCode="0.000"/>
    <numFmt numFmtId="179" formatCode="#,##0.0000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00"/>
    <numFmt numFmtId="189" formatCode="0.00000"/>
    <numFmt numFmtId="190" formatCode="0.0000000"/>
    <numFmt numFmtId="191" formatCode="0.0000000000"/>
    <numFmt numFmtId="192" formatCode="0.000000000"/>
    <numFmt numFmtId="193" formatCode="0.00000000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m/d"/>
    <numFmt numFmtId="203" formatCode="#,##0.000"/>
    <numFmt numFmtId="204" formatCode="#,##0.0000000000"/>
    <numFmt numFmtId="205" formatCode="#,##0.000000000"/>
    <numFmt numFmtId="206" formatCode="#,##0.00000000"/>
    <numFmt numFmtId="207" formatCode="#,##0.0\ &quot;Ft&quot;"/>
    <numFmt numFmtId="208" formatCode="_-* #,##0\ &quot;Ft&quot;_-;\-* #,##0\ &quot;Ft&quot;_-;_-* &quot;-&quot;??\ &quot;Ft&quot;_-;_-@_-"/>
    <numFmt numFmtId="209" formatCode="0.000%"/>
    <numFmt numFmtId="210" formatCode="0.0000%"/>
    <numFmt numFmtId="211" formatCode="&quot;Igen&quot;;&quot;Igen&quot;;&quot;Nem&quot;"/>
    <numFmt numFmtId="212" formatCode="&quot;Igaz&quot;;&quot;Igaz&quot;;&quot;Hamis&quot;"/>
    <numFmt numFmtId="213" formatCode="&quot;Be&quot;;&quot;Be&quot;;&quot;Ki&quot;"/>
    <numFmt numFmtId="214" formatCode="[$€-2]\ #\ ##,000_);[Red]\([$€-2]\ #\ ##,000\)"/>
    <numFmt numFmtId="215" formatCode="_-* #,##0.0\ _F_t_-;\-* #,##0.0\ _F_t_-;_-* &quot;-&quot;??\ _F_t_-;_-@_-"/>
    <numFmt numFmtId="216" formatCode="_-* #,##0\ _F_t_-;\-* #,##0\ _F_t_-;_-* &quot;-&quot;??\ _F_t_-;_-@_-"/>
    <numFmt numFmtId="217" formatCode="[$-F400]h:mm:ss\ AM/PM"/>
  </numFmts>
  <fonts count="59">
    <font>
      <sz val="10"/>
      <name val="Arial"/>
      <family val="0"/>
    </font>
    <font>
      <sz val="10"/>
      <name val="H-Courier New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color indexed="10"/>
      <name val="Arial"/>
      <family val="2"/>
    </font>
    <font>
      <sz val="48"/>
      <name val="Arial"/>
      <family val="2"/>
    </font>
    <font>
      <b/>
      <sz val="56"/>
      <name val="Arial"/>
      <family val="2"/>
    </font>
    <font>
      <sz val="56"/>
      <name val="Arial"/>
      <family val="2"/>
    </font>
    <font>
      <b/>
      <sz val="56"/>
      <color indexed="10"/>
      <name val="Arial"/>
      <family val="2"/>
    </font>
    <font>
      <sz val="56"/>
      <color indexed="10"/>
      <name val="Arial"/>
      <family val="2"/>
    </font>
    <font>
      <b/>
      <sz val="48"/>
      <name val="Arial"/>
      <family val="2"/>
    </font>
    <font>
      <sz val="4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4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33" borderId="18" xfId="0" applyFont="1" applyFill="1" applyBorder="1" applyAlignment="1">
      <alignment horizontal="right"/>
    </xf>
    <xf numFmtId="0" fontId="6" fillId="35" borderId="20" xfId="0" applyFont="1" applyFill="1" applyBorder="1" applyAlignment="1">
      <alignment textRotation="90"/>
    </xf>
    <xf numFmtId="4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4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3" fontId="14" fillId="0" borderId="16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3" fontId="14" fillId="0" borderId="25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 vertical="center"/>
    </xf>
    <xf numFmtId="3" fontId="16" fillId="0" borderId="18" xfId="0" applyNumberFormat="1" applyFont="1" applyFill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 vertical="center"/>
    </xf>
    <xf numFmtId="3" fontId="19" fillId="36" borderId="26" xfId="0" applyNumberFormat="1" applyFont="1" applyFill="1" applyBorder="1" applyAlignment="1">
      <alignment horizontal="right" vertical="center"/>
    </xf>
    <xf numFmtId="3" fontId="19" fillId="36" borderId="27" xfId="0" applyNumberFormat="1" applyFont="1" applyFill="1" applyBorder="1" applyAlignment="1">
      <alignment horizontal="right" vertical="center"/>
    </xf>
    <xf numFmtId="4" fontId="9" fillId="0" borderId="28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203" fontId="13" fillId="0" borderId="16" xfId="0" applyNumberFormat="1" applyFont="1" applyBorder="1" applyAlignment="1">
      <alignment horizontal="center"/>
    </xf>
    <xf numFmtId="203" fontId="13" fillId="0" borderId="18" xfId="0" applyNumberFormat="1" applyFont="1" applyBorder="1" applyAlignment="1">
      <alignment horizontal="center"/>
    </xf>
    <xf numFmtId="203" fontId="13" fillId="0" borderId="14" xfId="0" applyNumberFormat="1" applyFont="1" applyBorder="1" applyAlignment="1">
      <alignment horizontal="center"/>
    </xf>
    <xf numFmtId="203" fontId="13" fillId="0" borderId="15" xfId="0" applyNumberFormat="1" applyFont="1" applyBorder="1" applyAlignment="1">
      <alignment horizontal="center"/>
    </xf>
    <xf numFmtId="203" fontId="18" fillId="0" borderId="18" xfId="0" applyNumberFormat="1" applyFont="1" applyBorder="1" applyAlignment="1">
      <alignment horizontal="center"/>
    </xf>
    <xf numFmtId="203" fontId="13" fillId="0" borderId="10" xfId="0" applyNumberFormat="1" applyFont="1" applyBorder="1" applyAlignment="1">
      <alignment horizontal="center"/>
    </xf>
    <xf numFmtId="203" fontId="13" fillId="36" borderId="26" xfId="0" applyNumberFormat="1" applyFont="1" applyFill="1" applyBorder="1" applyAlignment="1">
      <alignment horizontal="center" vertical="center"/>
    </xf>
    <xf numFmtId="203" fontId="13" fillId="0" borderId="25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right"/>
    </xf>
    <xf numFmtId="0" fontId="13" fillId="37" borderId="29" xfId="0" applyFont="1" applyFill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0" borderId="19" xfId="0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vertical="center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6" fillId="0" borderId="44" xfId="0" applyFont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8" fillId="36" borderId="0" xfId="0" applyFont="1" applyFill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43" xfId="0" applyFont="1" applyBorder="1" applyAlignment="1">
      <alignment horizontal="right" wrapText="1"/>
    </xf>
    <xf numFmtId="0" fontId="5" fillId="0" borderId="42" xfId="0" applyFont="1" applyBorder="1" applyAlignment="1">
      <alignment horizontal="right" wrapText="1"/>
    </xf>
    <xf numFmtId="0" fontId="5" fillId="0" borderId="41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9" fillId="0" borderId="47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right" vertical="center"/>
    </xf>
    <xf numFmtId="203" fontId="13" fillId="0" borderId="17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5" fillId="0" borderId="50" xfId="0" applyFont="1" applyBorder="1" applyAlignment="1">
      <alignment horizontal="right"/>
    </xf>
    <xf numFmtId="4" fontId="18" fillId="0" borderId="51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4" fontId="18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5" fillId="0" borderId="53" xfId="0" applyFont="1" applyBorder="1" applyAlignment="1">
      <alignment horizontal="right"/>
    </xf>
    <xf numFmtId="203" fontId="14" fillId="0" borderId="14" xfId="0" applyNumberFormat="1" applyFont="1" applyBorder="1" applyAlignment="1">
      <alignment horizontal="right"/>
    </xf>
    <xf numFmtId="203" fontId="14" fillId="0" borderId="11" xfId="0" applyNumberFormat="1" applyFont="1" applyBorder="1" applyAlignment="1">
      <alignment horizontal="right"/>
    </xf>
    <xf numFmtId="203" fontId="18" fillId="0" borderId="18" xfId="0" applyNumberFormat="1" applyFont="1" applyBorder="1" applyAlignment="1">
      <alignment horizontal="right" vertical="center"/>
    </xf>
    <xf numFmtId="203" fontId="18" fillId="0" borderId="54" xfId="0" applyNumberFormat="1" applyFont="1" applyBorder="1" applyAlignment="1">
      <alignment horizontal="right"/>
    </xf>
    <xf numFmtId="0" fontId="18" fillId="0" borderId="55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/>
    </xf>
    <xf numFmtId="203" fontId="14" fillId="0" borderId="51" xfId="0" applyNumberFormat="1" applyFont="1" applyBorder="1" applyAlignment="1">
      <alignment horizontal="right"/>
    </xf>
    <xf numFmtId="203" fontId="14" fillId="0" borderId="15" xfId="0" applyNumberFormat="1" applyFont="1" applyBorder="1" applyAlignment="1">
      <alignment horizontal="right"/>
    </xf>
    <xf numFmtId="203" fontId="14" fillId="0" borderId="10" xfId="0" applyNumberFormat="1" applyFont="1" applyFill="1" applyBorder="1" applyAlignment="1">
      <alignment horizontal="right"/>
    </xf>
    <xf numFmtId="4" fontId="13" fillId="0" borderId="20" xfId="0" applyNumberFormat="1" applyFont="1" applyFill="1" applyBorder="1" applyAlignment="1">
      <alignment horizontal="right"/>
    </xf>
    <xf numFmtId="203" fontId="13" fillId="0" borderId="14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right" wrapText="1"/>
    </xf>
    <xf numFmtId="4" fontId="13" fillId="0" borderId="56" xfId="0" applyNumberFormat="1" applyFont="1" applyBorder="1" applyAlignment="1">
      <alignment horizontal="right"/>
    </xf>
    <xf numFmtId="203" fontId="13" fillId="0" borderId="12" xfId="0" applyNumberFormat="1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right"/>
    </xf>
    <xf numFmtId="203" fontId="13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203" fontId="14" fillId="0" borderId="12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203" fontId="13" fillId="0" borderId="18" xfId="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 vertical="center"/>
    </xf>
    <xf numFmtId="203" fontId="14" fillId="0" borderId="15" xfId="0" applyNumberFormat="1" applyFont="1" applyFill="1" applyBorder="1" applyAlignment="1">
      <alignment horizontal="right"/>
    </xf>
    <xf numFmtId="203" fontId="14" fillId="0" borderId="10" xfId="0" applyNumberFormat="1" applyFont="1" applyBorder="1" applyAlignment="1">
      <alignment horizontal="right"/>
    </xf>
    <xf numFmtId="203" fontId="14" fillId="0" borderId="14" xfId="0" applyNumberFormat="1" applyFont="1" applyFill="1" applyBorder="1" applyAlignment="1">
      <alignment horizontal="right"/>
    </xf>
    <xf numFmtId="0" fontId="0" fillId="0" borderId="57" xfId="0" applyBorder="1" applyAlignment="1">
      <alignment/>
    </xf>
    <xf numFmtId="0" fontId="15" fillId="0" borderId="21" xfId="0" applyFont="1" applyBorder="1" applyAlignment="1">
      <alignment horizontal="left"/>
    </xf>
    <xf numFmtId="4" fontId="13" fillId="0" borderId="28" xfId="0" applyNumberFormat="1" applyFont="1" applyBorder="1" applyAlignment="1">
      <alignment horizontal="right"/>
    </xf>
    <xf numFmtId="0" fontId="18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right" wrapText="1"/>
    </xf>
    <xf numFmtId="0" fontId="15" fillId="0" borderId="58" xfId="0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0" fontId="5" fillId="0" borderId="60" xfId="0" applyFont="1" applyBorder="1" applyAlignment="1">
      <alignment horizontal="right"/>
    </xf>
    <xf numFmtId="4" fontId="13" fillId="0" borderId="60" xfId="0" applyNumberFormat="1" applyFont="1" applyBorder="1" applyAlignment="1">
      <alignment horizontal="right"/>
    </xf>
    <xf numFmtId="4" fontId="58" fillId="0" borderId="30" xfId="0" applyNumberFormat="1" applyFont="1" applyFill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2" fillId="0" borderId="14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165" fontId="22" fillId="0" borderId="12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vertical="center"/>
    </xf>
    <xf numFmtId="3" fontId="22" fillId="0" borderId="18" xfId="0" applyNumberFormat="1" applyFont="1" applyFill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0" fontId="0" fillId="0" borderId="21" xfId="0" applyBorder="1" applyAlignment="1">
      <alignment vertical="center"/>
    </xf>
    <xf numFmtId="0" fontId="0" fillId="0" borderId="61" xfId="0" applyBorder="1" applyAlignment="1">
      <alignment vertical="center"/>
    </xf>
    <xf numFmtId="4" fontId="18" fillId="0" borderId="62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" fontId="18" fillId="0" borderId="53" xfId="0" applyNumberFormat="1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4" fontId="18" fillId="0" borderId="52" xfId="0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3" fontId="9" fillId="36" borderId="27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14" fillId="0" borderId="68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4" fillId="35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4" fontId="18" fillId="0" borderId="21" xfId="0" applyNumberFormat="1" applyFont="1" applyBorder="1" applyAlignment="1">
      <alignment horizontal="center" vertical="center"/>
    </xf>
    <xf numFmtId="4" fontId="18" fillId="0" borderId="70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 wrapText="1"/>
    </xf>
    <xf numFmtId="4" fontId="18" fillId="0" borderId="61" xfId="0" applyNumberFormat="1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7" fillId="35" borderId="71" xfId="0" applyFont="1" applyFill="1" applyBorder="1" applyAlignment="1">
      <alignment horizontal="center" vertical="center" textRotation="90" wrapText="1"/>
    </xf>
    <xf numFmtId="0" fontId="6" fillId="35" borderId="50" xfId="0" applyFont="1" applyFill="1" applyBorder="1" applyAlignment="1">
      <alignment textRotation="90"/>
    </xf>
    <xf numFmtId="4" fontId="4" fillId="35" borderId="72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63" xfId="0" applyBorder="1" applyAlignment="1">
      <alignment horizontal="right"/>
    </xf>
    <xf numFmtId="4" fontId="18" fillId="0" borderId="19" xfId="0" applyNumberFormat="1" applyFont="1" applyBorder="1" applyAlignment="1">
      <alignment horizontal="right" vertical="center"/>
    </xf>
    <xf numFmtId="4" fontId="18" fillId="0" borderId="39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3" fillId="37" borderId="50" xfId="0" applyFont="1" applyFill="1" applyBorder="1" applyAlignment="1">
      <alignment horizontal="right" vertical="center"/>
    </xf>
    <xf numFmtId="0" fontId="13" fillId="37" borderId="73" xfId="0" applyFont="1" applyFill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4" fontId="7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4" fontId="9" fillId="0" borderId="63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8" fillId="0" borderId="74" xfId="0" applyFont="1" applyBorder="1" applyAlignment="1">
      <alignment vertical="center" wrapText="1"/>
    </xf>
    <xf numFmtId="0" fontId="13" fillId="0" borderId="49" xfId="0" applyFont="1" applyBorder="1" applyAlignment="1">
      <alignment horizontal="center" vertical="center" textRotation="53" wrapText="1"/>
    </xf>
    <xf numFmtId="0" fontId="0" fillId="0" borderId="52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right" vertical="center"/>
    </xf>
    <xf numFmtId="0" fontId="13" fillId="37" borderId="60" xfId="0" applyFont="1" applyFill="1" applyBorder="1" applyAlignment="1">
      <alignment horizontal="right"/>
    </xf>
    <xf numFmtId="0" fontId="13" fillId="37" borderId="14" xfId="0" applyFont="1" applyFill="1" applyBorder="1" applyAlignment="1">
      <alignment horizontal="right"/>
    </xf>
    <xf numFmtId="0" fontId="16" fillId="0" borderId="41" xfId="0" applyFont="1" applyBorder="1" applyAlignment="1">
      <alignment horizontal="left" vertical="center"/>
    </xf>
    <xf numFmtId="0" fontId="16" fillId="0" borderId="47" xfId="0" applyFont="1" applyBorder="1" applyAlignment="1">
      <alignment vertical="center"/>
    </xf>
    <xf numFmtId="4" fontId="6" fillId="0" borderId="21" xfId="0" applyNumberFormat="1" applyFont="1" applyBorder="1" applyAlignment="1">
      <alignment horizontal="center" vertical="center"/>
    </xf>
    <xf numFmtId="4" fontId="18" fillId="0" borderId="6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3" fillId="0" borderId="5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60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3" fontId="22" fillId="0" borderId="51" xfId="0" applyNumberFormat="1" applyFont="1" applyBorder="1" applyAlignment="1">
      <alignment horizontal="right" vertical="center"/>
    </xf>
    <xf numFmtId="3" fontId="17" fillId="0" borderId="41" xfId="0" applyNumberFormat="1" applyFont="1" applyBorder="1" applyAlignment="1">
      <alignment horizontal="right" vertical="center"/>
    </xf>
    <xf numFmtId="3" fontId="17" fillId="0" borderId="44" xfId="0" applyNumberFormat="1" applyFont="1" applyBorder="1" applyAlignment="1">
      <alignment horizontal="right" vertical="center"/>
    </xf>
    <xf numFmtId="3" fontId="17" fillId="0" borderId="47" xfId="0" applyNumberFormat="1" applyFont="1" applyBorder="1" applyAlignment="1">
      <alignment horizontal="right" vertical="center"/>
    </xf>
    <xf numFmtId="0" fontId="0" fillId="33" borderId="60" xfId="0" applyFill="1" applyBorder="1" applyAlignment="1">
      <alignment horizontal="right"/>
    </xf>
    <xf numFmtId="0" fontId="0" fillId="33" borderId="51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4" fillId="0" borderId="76" xfId="0" applyFont="1" applyBorder="1" applyAlignment="1">
      <alignment horizontal="left" vertical="center"/>
    </xf>
    <xf numFmtId="0" fontId="14" fillId="0" borderId="77" xfId="0" applyFont="1" applyBorder="1" applyAlignment="1">
      <alignment vertical="center"/>
    </xf>
    <xf numFmtId="4" fontId="7" fillId="38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10" fillId="39" borderId="71" xfId="0" applyFont="1" applyFill="1" applyBorder="1" applyAlignment="1">
      <alignment horizontal="center" vertical="center" textRotation="90"/>
    </xf>
    <xf numFmtId="0" fontId="10" fillId="39" borderId="50" xfId="0" applyFont="1" applyFill="1" applyBorder="1" applyAlignment="1">
      <alignment textRotation="90"/>
    </xf>
    <xf numFmtId="0" fontId="0" fillId="39" borderId="50" xfId="0" applyFill="1" applyBorder="1" applyAlignment="1">
      <alignment textRotation="90"/>
    </xf>
    <xf numFmtId="0" fontId="0" fillId="39" borderId="20" xfId="0" applyFill="1" applyBorder="1" applyAlignment="1">
      <alignment textRotation="90"/>
    </xf>
    <xf numFmtId="0" fontId="5" fillId="33" borderId="50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0" fillId="0" borderId="62" xfId="0" applyBorder="1" applyAlignment="1">
      <alignment horizontal="right"/>
    </xf>
    <xf numFmtId="4" fontId="18" fillId="0" borderId="41" xfId="0" applyNumberFormat="1" applyFont="1" applyBorder="1" applyAlignment="1">
      <alignment horizontal="right" vertical="center"/>
    </xf>
    <xf numFmtId="4" fontId="18" fillId="0" borderId="44" xfId="0" applyNumberFormat="1" applyFont="1" applyBorder="1" applyAlignment="1">
      <alignment horizontal="right" vertical="center"/>
    </xf>
    <xf numFmtId="4" fontId="18" fillId="0" borderId="47" xfId="0" applyNumberFormat="1" applyFont="1" applyBorder="1" applyAlignment="1">
      <alignment horizontal="right" vertical="center"/>
    </xf>
    <xf numFmtId="203" fontId="13" fillId="0" borderId="13" xfId="0" applyNumberFormat="1" applyFont="1" applyBorder="1" applyAlignment="1">
      <alignment horizontal="center" vertical="center"/>
    </xf>
    <xf numFmtId="203" fontId="13" fillId="0" borderId="17" xfId="0" applyNumberFormat="1" applyFont="1" applyBorder="1" applyAlignment="1">
      <alignment horizontal="center" vertical="center"/>
    </xf>
    <xf numFmtId="0" fontId="0" fillId="39" borderId="65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right"/>
    </xf>
    <xf numFmtId="4" fontId="9" fillId="0" borderId="78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4" fillId="0" borderId="65" xfId="0" applyFont="1" applyBorder="1" applyAlignment="1">
      <alignment horizontal="right" vertical="center" wrapText="1"/>
    </xf>
    <xf numFmtId="0" fontId="0" fillId="0" borderId="65" xfId="0" applyBorder="1" applyAlignment="1">
      <alignment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/>
    </xf>
    <xf numFmtId="3" fontId="18" fillId="0" borderId="79" xfId="0" applyNumberFormat="1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3" fontId="18" fillId="0" borderId="78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18" fillId="0" borderId="78" xfId="0" applyNumberFormat="1" applyFont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left" vertical="center"/>
    </xf>
    <xf numFmtId="0" fontId="8" fillId="36" borderId="74" xfId="0" applyFont="1" applyFill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38" borderId="65" xfId="0" applyFill="1" applyBorder="1" applyAlignment="1">
      <alignment/>
    </xf>
    <xf numFmtId="0" fontId="13" fillId="0" borderId="3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81" xfId="0" applyFont="1" applyBorder="1" applyAlignment="1">
      <alignment horizontal="right"/>
    </xf>
    <xf numFmtId="0" fontId="0" fillId="0" borderId="51" xfId="0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9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51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right"/>
    </xf>
    <xf numFmtId="0" fontId="6" fillId="0" borderId="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10" fillId="38" borderId="72" xfId="0" applyFont="1" applyFill="1" applyBorder="1" applyAlignment="1">
      <alignment horizontal="center" vertical="center"/>
    </xf>
    <xf numFmtId="0" fontId="11" fillId="38" borderId="72" xfId="0" applyFont="1" applyFill="1" applyBorder="1" applyAlignment="1">
      <alignment/>
    </xf>
    <xf numFmtId="0" fontId="10" fillId="38" borderId="71" xfId="0" applyFont="1" applyFill="1" applyBorder="1" applyAlignment="1">
      <alignment vertical="center" textRotation="90"/>
    </xf>
    <xf numFmtId="0" fontId="10" fillId="38" borderId="50" xfId="0" applyFont="1" applyFill="1" applyBorder="1" applyAlignment="1">
      <alignment textRotation="90"/>
    </xf>
    <xf numFmtId="0" fontId="0" fillId="0" borderId="20" xfId="0" applyBorder="1" applyAlignment="1">
      <alignment textRotation="90"/>
    </xf>
    <xf numFmtId="0" fontId="4" fillId="39" borderId="72" xfId="0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4" fontId="18" fillId="0" borderId="84" xfId="0" applyNumberFormat="1" applyFont="1" applyBorder="1" applyAlignment="1">
      <alignment horizontal="right" vertical="center"/>
    </xf>
    <xf numFmtId="4" fontId="18" fillId="0" borderId="85" xfId="0" applyNumberFormat="1" applyFont="1" applyBorder="1" applyAlignment="1">
      <alignment horizontal="right" vertical="center"/>
    </xf>
    <xf numFmtId="4" fontId="18" fillId="0" borderId="86" xfId="0" applyNumberFormat="1" applyFont="1" applyBorder="1" applyAlignment="1">
      <alignment horizontal="right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4" fontId="7" fillId="39" borderId="87" xfId="0" applyNumberFormat="1" applyFont="1" applyFill="1" applyBorder="1" applyAlignment="1">
      <alignment horizontal="right"/>
    </xf>
    <xf numFmtId="0" fontId="0" fillId="34" borderId="51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4" borderId="17" xfId="0" applyFont="1" applyFill="1" applyBorder="1" applyAlignment="1">
      <alignment horizontal="right"/>
    </xf>
    <xf numFmtId="4" fontId="18" fillId="0" borderId="88" xfId="0" applyNumberFormat="1" applyFont="1" applyBorder="1" applyAlignment="1">
      <alignment horizontal="right" vertical="center"/>
    </xf>
    <xf numFmtId="4" fontId="18" fillId="0" borderId="83" xfId="0" applyNumberFormat="1" applyFont="1" applyBorder="1" applyAlignment="1">
      <alignment horizontal="right" vertical="center"/>
    </xf>
    <xf numFmtId="4" fontId="18" fillId="0" borderId="89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/>
    </xf>
    <xf numFmtId="0" fontId="5" fillId="0" borderId="6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4" fontId="7" fillId="0" borderId="78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0" fontId="8" fillId="0" borderId="5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203" fontId="13" fillId="0" borderId="6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/>
    </xf>
    <xf numFmtId="0" fontId="18" fillId="0" borderId="63" xfId="0" applyFont="1" applyBorder="1" applyAlignment="1">
      <alignment horizontal="center" vertical="center"/>
    </xf>
    <xf numFmtId="0" fontId="12" fillId="36" borderId="65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aj_fubo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abSelected="1" view="pageBreakPreview" zoomScale="20" zoomScaleNormal="20" zoomScaleSheetLayoutView="20" workbookViewId="0" topLeftCell="D94">
      <selection activeCell="D69" sqref="D69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50.140625" style="1" customWidth="1"/>
    <col min="4" max="4" width="155.140625" style="5" customWidth="1"/>
    <col min="5" max="5" width="58.140625" style="5" customWidth="1"/>
    <col min="6" max="6" width="66.421875" style="5" customWidth="1"/>
    <col min="7" max="7" width="26.28125" style="1" customWidth="1"/>
    <col min="8" max="8" width="7.8515625" style="3" customWidth="1"/>
    <col min="9" max="9" width="1.8515625" style="3" customWidth="1"/>
    <col min="10" max="10" width="2.7109375" style="3" customWidth="1"/>
    <col min="11" max="11" width="1.7109375" style="3" customWidth="1"/>
    <col min="12" max="12" width="3.140625" style="3" customWidth="1"/>
    <col min="13" max="13" width="46.28125" style="4" customWidth="1"/>
    <col min="14" max="14" width="54.7109375" style="4" customWidth="1"/>
    <col min="15" max="15" width="50.7109375" style="4" customWidth="1"/>
    <col min="16" max="16" width="86.140625" style="15" customWidth="1"/>
    <col min="17" max="17" width="55.00390625" style="15" customWidth="1"/>
    <col min="18" max="18" width="55.57421875" style="15" customWidth="1"/>
    <col min="19" max="19" width="70.7109375" style="4" customWidth="1"/>
  </cols>
  <sheetData>
    <row r="1" ht="5.25" customHeight="1">
      <c r="I1" s="22"/>
    </row>
    <row r="2" ht="4.5" customHeight="1" thickBot="1"/>
    <row r="3" spans="2:19" s="7" customFormat="1" ht="75" customHeight="1" thickBot="1">
      <c r="B3" s="258" t="s">
        <v>125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84"/>
      <c r="R3" s="178" t="s">
        <v>66</v>
      </c>
      <c r="S3" s="237">
        <v>2880.5</v>
      </c>
    </row>
    <row r="4" spans="2:19" s="6" customFormat="1" ht="12" customHeight="1" thickBot="1"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2:19" s="6" customFormat="1" ht="50.25" customHeight="1" thickBot="1">
      <c r="B5" s="329" t="s">
        <v>122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2:19" s="6" customFormat="1" ht="54.75" customHeight="1" thickBot="1">
      <c r="B6" s="313" t="s">
        <v>117</v>
      </c>
      <c r="C6" s="314"/>
      <c r="D6" s="330" t="s">
        <v>55</v>
      </c>
      <c r="E6" s="256" t="s">
        <v>69</v>
      </c>
      <c r="F6" s="261"/>
      <c r="G6" s="262"/>
      <c r="H6" s="262"/>
      <c r="I6" s="262"/>
      <c r="J6" s="262"/>
      <c r="K6" s="262"/>
      <c r="L6" s="262"/>
      <c r="M6" s="263"/>
      <c r="N6" s="308" t="s">
        <v>68</v>
      </c>
      <c r="O6" s="309"/>
      <c r="P6" s="309"/>
      <c r="Q6" s="309"/>
      <c r="R6" s="310"/>
      <c r="S6" s="256" t="s">
        <v>67</v>
      </c>
    </row>
    <row r="7" spans="2:19" s="6" customFormat="1" ht="65.25" customHeight="1" thickBot="1">
      <c r="B7" s="315"/>
      <c r="C7" s="316"/>
      <c r="D7" s="265"/>
      <c r="E7" s="257"/>
      <c r="F7" s="264"/>
      <c r="G7" s="264"/>
      <c r="H7" s="264"/>
      <c r="I7" s="264"/>
      <c r="J7" s="264"/>
      <c r="K7" s="264"/>
      <c r="L7" s="264"/>
      <c r="M7" s="265"/>
      <c r="N7" s="287" t="s">
        <v>62</v>
      </c>
      <c r="O7" s="288"/>
      <c r="P7" s="289" t="s">
        <v>60</v>
      </c>
      <c r="Q7" s="290"/>
      <c r="R7" s="291"/>
      <c r="S7" s="257"/>
    </row>
    <row r="8" spans="2:19" s="9" customFormat="1" ht="71.25" customHeight="1">
      <c r="B8" s="315"/>
      <c r="C8" s="316"/>
      <c r="D8" s="266" t="s">
        <v>56</v>
      </c>
      <c r="E8" s="370" t="s">
        <v>54</v>
      </c>
      <c r="F8" s="378" t="s">
        <v>112</v>
      </c>
      <c r="G8" s="311" t="s">
        <v>113</v>
      </c>
      <c r="H8" s="269" t="s">
        <v>57</v>
      </c>
      <c r="I8" s="270"/>
      <c r="J8" s="270"/>
      <c r="K8" s="270"/>
      <c r="L8" s="271"/>
      <c r="M8" s="272"/>
      <c r="N8" s="381" t="s">
        <v>61</v>
      </c>
      <c r="O8" s="279" t="s">
        <v>63</v>
      </c>
      <c r="P8" s="376" t="s">
        <v>64</v>
      </c>
      <c r="Q8" s="374" t="s">
        <v>65</v>
      </c>
      <c r="R8" s="375"/>
      <c r="S8" s="366" t="s">
        <v>70</v>
      </c>
    </row>
    <row r="9" spans="2:19" s="9" customFormat="1" ht="115.5" customHeight="1" thickBot="1">
      <c r="B9" s="315"/>
      <c r="C9" s="316"/>
      <c r="D9" s="267"/>
      <c r="E9" s="371"/>
      <c r="F9" s="379"/>
      <c r="G9" s="312"/>
      <c r="H9" s="273"/>
      <c r="I9" s="274"/>
      <c r="J9" s="274"/>
      <c r="K9" s="274"/>
      <c r="L9" s="274"/>
      <c r="M9" s="275"/>
      <c r="N9" s="377"/>
      <c r="O9" s="280"/>
      <c r="P9" s="377"/>
      <c r="Q9" s="156" t="s">
        <v>114</v>
      </c>
      <c r="R9" s="157" t="s">
        <v>111</v>
      </c>
      <c r="S9" s="367"/>
    </row>
    <row r="10" spans="2:19" s="9" customFormat="1" ht="60" customHeight="1" thickBot="1">
      <c r="B10" s="317"/>
      <c r="C10" s="318"/>
      <c r="D10" s="268"/>
      <c r="E10" s="372"/>
      <c r="F10" s="380"/>
      <c r="G10" s="155" t="s">
        <v>58</v>
      </c>
      <c r="H10" s="276" t="s">
        <v>107</v>
      </c>
      <c r="I10" s="276"/>
      <c r="J10" s="276"/>
      <c r="K10" s="276"/>
      <c r="L10" s="277"/>
      <c r="M10" s="278"/>
      <c r="N10" s="81" t="s">
        <v>59</v>
      </c>
      <c r="O10" s="82" t="s">
        <v>59</v>
      </c>
      <c r="P10" s="83" t="s">
        <v>59</v>
      </c>
      <c r="Q10" s="133" t="s">
        <v>59</v>
      </c>
      <c r="R10" s="132" t="s">
        <v>59</v>
      </c>
      <c r="S10" s="45" t="s">
        <v>108</v>
      </c>
    </row>
    <row r="11" spans="2:19" s="9" customFormat="1" ht="3.75" customHeight="1">
      <c r="B11" s="368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</row>
    <row r="12" spans="2:19" s="9" customFormat="1" ht="6" customHeight="1">
      <c r="B12" s="331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</row>
    <row r="13" spans="2:19" s="9" customFormat="1" ht="12" customHeight="1" thickBot="1">
      <c r="B13" s="292" t="s">
        <v>71</v>
      </c>
      <c r="C13" s="294" t="s">
        <v>27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</row>
    <row r="14" spans="2:19" ht="123.75" customHeight="1" thickBot="1">
      <c r="B14" s="293"/>
      <c r="C14" s="47" t="s">
        <v>0</v>
      </c>
      <c r="D14" s="48" t="s">
        <v>74</v>
      </c>
      <c r="E14" s="158" t="s">
        <v>109</v>
      </c>
      <c r="F14" s="134"/>
      <c r="G14" s="92">
        <v>41</v>
      </c>
      <c r="H14" s="306"/>
      <c r="I14" s="295"/>
      <c r="J14" s="106"/>
      <c r="K14" s="388"/>
      <c r="L14" s="107"/>
      <c r="M14" s="108">
        <v>5829.17</v>
      </c>
      <c r="N14" s="238">
        <v>921</v>
      </c>
      <c r="O14" s="238">
        <v>1119</v>
      </c>
      <c r="P14" s="54">
        <f>O14-N14</f>
        <v>198</v>
      </c>
      <c r="Q14" s="54"/>
      <c r="R14" s="54"/>
      <c r="S14" s="98">
        <f>1000*(R14+Q14+P14)/M14</f>
        <v>33.96709994733384</v>
      </c>
    </row>
    <row r="15" spans="2:19" ht="123.75" customHeight="1" thickBot="1">
      <c r="B15" s="293"/>
      <c r="C15" s="49" t="s">
        <v>1</v>
      </c>
      <c r="D15" s="50" t="s">
        <v>75</v>
      </c>
      <c r="E15" s="159" t="s">
        <v>109</v>
      </c>
      <c r="F15" s="135"/>
      <c r="G15" s="95">
        <v>28</v>
      </c>
      <c r="H15" s="307"/>
      <c r="I15" s="296"/>
      <c r="J15" s="109"/>
      <c r="K15" s="389"/>
      <c r="L15" s="110"/>
      <c r="M15" s="111">
        <v>3979.48</v>
      </c>
      <c r="N15" s="239">
        <v>2753</v>
      </c>
      <c r="O15" s="239">
        <v>2959</v>
      </c>
      <c r="P15" s="55">
        <f>O15-N15</f>
        <v>206</v>
      </c>
      <c r="Q15" s="55"/>
      <c r="R15" s="55"/>
      <c r="S15" s="98">
        <f aca="true" t="shared" si="0" ref="S15:S20">1000*(R15+Q15+P15)/M15</f>
        <v>51.76555730899514</v>
      </c>
    </row>
    <row r="16" spans="2:19" ht="120" customHeight="1" thickBot="1">
      <c r="B16" s="293"/>
      <c r="C16" s="49" t="s">
        <v>2</v>
      </c>
      <c r="D16" s="50" t="s">
        <v>76</v>
      </c>
      <c r="E16" s="160" t="s">
        <v>109</v>
      </c>
      <c r="F16" s="135"/>
      <c r="G16" s="95">
        <v>42</v>
      </c>
      <c r="H16" s="307"/>
      <c r="I16" s="296"/>
      <c r="J16" s="112"/>
      <c r="K16" s="389"/>
      <c r="L16" s="113"/>
      <c r="M16" s="111">
        <v>5969.24</v>
      </c>
      <c r="N16" s="239">
        <v>543</v>
      </c>
      <c r="O16" s="239">
        <v>660</v>
      </c>
      <c r="P16" s="127">
        <f>O16-N16</f>
        <v>117</v>
      </c>
      <c r="Q16" s="55"/>
      <c r="R16" s="55"/>
      <c r="S16" s="98">
        <f t="shared" si="0"/>
        <v>19.60048515388894</v>
      </c>
    </row>
    <row r="17" spans="2:19" ht="112.5" customHeight="1" thickBot="1">
      <c r="B17" s="293"/>
      <c r="C17" s="49" t="s">
        <v>3</v>
      </c>
      <c r="D17" s="50" t="s">
        <v>77</v>
      </c>
      <c r="E17" s="158" t="s">
        <v>109</v>
      </c>
      <c r="F17" s="135"/>
      <c r="G17" s="95">
        <v>42</v>
      </c>
      <c r="H17" s="307"/>
      <c r="I17" s="296"/>
      <c r="J17" s="109"/>
      <c r="K17" s="389"/>
      <c r="L17" s="110"/>
      <c r="M17" s="111">
        <v>5969.22</v>
      </c>
      <c r="N17" s="239">
        <v>868</v>
      </c>
      <c r="O17" s="239">
        <v>1029</v>
      </c>
      <c r="P17" s="127">
        <f>O17-N17</f>
        <v>161</v>
      </c>
      <c r="Q17" s="55"/>
      <c r="R17" s="55"/>
      <c r="S17" s="98">
        <f t="shared" si="0"/>
        <v>26.97169814481624</v>
      </c>
    </row>
    <row r="18" spans="2:19" ht="90" customHeight="1" thickBot="1">
      <c r="B18" s="293"/>
      <c r="C18" s="373" t="s">
        <v>4</v>
      </c>
      <c r="D18" s="52" t="s">
        <v>78</v>
      </c>
      <c r="E18" s="322" t="s">
        <v>86</v>
      </c>
      <c r="F18" s="214"/>
      <c r="G18" s="180">
        <v>42</v>
      </c>
      <c r="H18" s="307"/>
      <c r="I18" s="296"/>
      <c r="J18" s="109"/>
      <c r="K18" s="389"/>
      <c r="L18" s="110"/>
      <c r="M18" s="216">
        <v>5969.23</v>
      </c>
      <c r="N18" s="304">
        <v>884</v>
      </c>
      <c r="O18" s="304">
        <v>1057</v>
      </c>
      <c r="P18" s="218">
        <f>SUM(O18-N18)/5969.23*M18</f>
        <v>173</v>
      </c>
      <c r="Q18" s="217"/>
      <c r="R18" s="217"/>
      <c r="S18" s="206">
        <f t="shared" si="0"/>
        <v>28.981962497675582</v>
      </c>
    </row>
    <row r="19" spans="2:19" ht="90" customHeight="1" thickBot="1">
      <c r="B19" s="293"/>
      <c r="C19" s="320"/>
      <c r="D19" s="52" t="s">
        <v>126</v>
      </c>
      <c r="E19" s="323"/>
      <c r="F19" s="215"/>
      <c r="G19" s="91">
        <v>0</v>
      </c>
      <c r="H19" s="307"/>
      <c r="I19" s="296"/>
      <c r="J19" s="112"/>
      <c r="K19" s="389"/>
      <c r="L19" s="113"/>
      <c r="M19" s="115"/>
      <c r="N19" s="324"/>
      <c r="O19" s="324"/>
      <c r="P19" s="57"/>
      <c r="Q19" s="57"/>
      <c r="R19" s="199">
        <f>SUM(O18-N18)/5969.23*M19</f>
        <v>0</v>
      </c>
      <c r="S19" s="101">
        <v>0</v>
      </c>
    </row>
    <row r="20" spans="2:19" s="23" customFormat="1" ht="90" customHeight="1">
      <c r="B20" s="293"/>
      <c r="C20" s="319" t="s">
        <v>5</v>
      </c>
      <c r="D20" s="208" t="s">
        <v>79</v>
      </c>
      <c r="E20" s="209" t="s">
        <v>86</v>
      </c>
      <c r="F20" s="210"/>
      <c r="G20" s="211">
        <v>28</v>
      </c>
      <c r="H20" s="307"/>
      <c r="I20" s="296"/>
      <c r="J20" s="325"/>
      <c r="K20" s="389"/>
      <c r="L20" s="333"/>
      <c r="M20" s="212">
        <v>3979.48</v>
      </c>
      <c r="N20" s="240">
        <v>352</v>
      </c>
      <c r="O20" s="240">
        <v>423</v>
      </c>
      <c r="P20" s="128">
        <f>O20-N20</f>
        <v>71</v>
      </c>
      <c r="Q20" s="128"/>
      <c r="R20" s="128"/>
      <c r="S20" s="213">
        <f t="shared" si="0"/>
        <v>17.84152703368279</v>
      </c>
    </row>
    <row r="21" spans="2:19" ht="90" customHeight="1" thickBot="1">
      <c r="B21" s="293"/>
      <c r="C21" s="320"/>
      <c r="D21" s="52" t="s">
        <v>25</v>
      </c>
      <c r="E21" s="163" t="s">
        <v>86</v>
      </c>
      <c r="F21" s="137"/>
      <c r="G21" s="91"/>
      <c r="H21" s="307"/>
      <c r="I21" s="296"/>
      <c r="J21" s="326"/>
      <c r="K21" s="389"/>
      <c r="L21" s="334"/>
      <c r="M21" s="115">
        <v>0</v>
      </c>
      <c r="N21" s="241"/>
      <c r="O21" s="241"/>
      <c r="P21" s="57"/>
      <c r="Q21" s="57"/>
      <c r="R21" s="57"/>
      <c r="S21" s="99"/>
    </row>
    <row r="22" spans="2:19" ht="90" customHeight="1">
      <c r="B22" s="293"/>
      <c r="C22" s="319" t="s">
        <v>6</v>
      </c>
      <c r="D22" s="51" t="s">
        <v>80</v>
      </c>
      <c r="E22" s="162" t="s">
        <v>86</v>
      </c>
      <c r="F22" s="136"/>
      <c r="G22" s="96">
        <v>42</v>
      </c>
      <c r="H22" s="307"/>
      <c r="I22" s="296"/>
      <c r="J22" s="335"/>
      <c r="K22" s="389"/>
      <c r="L22" s="302"/>
      <c r="M22" s="114">
        <v>5969.22</v>
      </c>
      <c r="N22" s="304">
        <v>784</v>
      </c>
      <c r="O22" s="304">
        <v>962</v>
      </c>
      <c r="P22" s="192">
        <f>(O22-N22)/6020.92*M22</f>
        <v>176.47156248546733</v>
      </c>
      <c r="Q22" s="58"/>
      <c r="R22" s="58"/>
      <c r="S22" s="361">
        <f>(P22+Q22+R22+P23+Q23+R23)/(M22+M23)*1000</f>
        <v>29.563588288832936</v>
      </c>
    </row>
    <row r="23" spans="2:19" ht="90" customHeight="1" thickBot="1">
      <c r="B23" s="293"/>
      <c r="C23" s="321"/>
      <c r="D23" s="53" t="s">
        <v>26</v>
      </c>
      <c r="E23" s="164" t="s">
        <v>86</v>
      </c>
      <c r="F23" s="138"/>
      <c r="G23" s="97"/>
      <c r="H23" s="307"/>
      <c r="I23" s="296"/>
      <c r="J23" s="336"/>
      <c r="K23" s="390"/>
      <c r="L23" s="303"/>
      <c r="M23" s="116">
        <v>51.7</v>
      </c>
      <c r="N23" s="305"/>
      <c r="O23" s="305"/>
      <c r="P23" s="59"/>
      <c r="Q23" s="59"/>
      <c r="R23" s="193">
        <f>O22-N22-P22</f>
        <v>1.5284375145326692</v>
      </c>
      <c r="S23" s="362"/>
    </row>
    <row r="24" spans="2:19" s="2" customFormat="1" ht="90" customHeight="1" thickBot="1" thickTop="1">
      <c r="B24" s="293"/>
      <c r="C24" s="384" t="s">
        <v>83</v>
      </c>
      <c r="D24" s="385"/>
      <c r="E24" s="386"/>
      <c r="F24" s="126"/>
      <c r="G24" s="94">
        <f>SUM(G14+G15+G16+G17+G18+G20+G22)</f>
        <v>265</v>
      </c>
      <c r="H24" s="307"/>
      <c r="I24" s="297"/>
      <c r="J24" s="298">
        <f>SUM(M14:M23)</f>
        <v>37716.74</v>
      </c>
      <c r="K24" s="299"/>
      <c r="L24" s="300"/>
      <c r="M24" s="301"/>
      <c r="N24" s="77">
        <f>SUM(N14:N23)</f>
        <v>7105</v>
      </c>
      <c r="O24" s="77">
        <f>SUM(O14:O23)</f>
        <v>8209</v>
      </c>
      <c r="P24" s="194">
        <f>SUM(P14:P23)</f>
        <v>1102.4715624854673</v>
      </c>
      <c r="Q24" s="78"/>
      <c r="R24" s="195">
        <f>SUM(R14:R23)</f>
        <v>1.5284375145326692</v>
      </c>
      <c r="S24" s="102">
        <f>1000*(R24+Q24+P24)/J24</f>
        <v>29.27082245178136</v>
      </c>
    </row>
    <row r="25" spans="2:19" s="2" customFormat="1" ht="19.5" customHeight="1">
      <c r="B25" s="44"/>
      <c r="C25" s="285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</row>
    <row r="26" spans="2:19" s="2" customFormat="1" ht="15.75" customHeight="1">
      <c r="B26" s="400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</row>
    <row r="27" spans="1:19" s="6" customFormat="1" ht="18.75" customHeight="1" thickBot="1">
      <c r="A27" s="20"/>
      <c r="B27" s="404" t="s">
        <v>82</v>
      </c>
      <c r="C27" s="402" t="s">
        <v>82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</row>
    <row r="28" spans="1:19" ht="90" customHeight="1" thickBot="1">
      <c r="A28" s="14"/>
      <c r="B28" s="405"/>
      <c r="C28" s="47" t="s">
        <v>7</v>
      </c>
      <c r="D28" s="48" t="s">
        <v>81</v>
      </c>
      <c r="E28" s="166" t="s">
        <v>86</v>
      </c>
      <c r="F28" s="139"/>
      <c r="G28" s="168">
        <v>78</v>
      </c>
      <c r="H28" s="346"/>
      <c r="I28" s="295"/>
      <c r="J28" s="30"/>
      <c r="K28" s="392"/>
      <c r="L28" s="37"/>
      <c r="M28" s="108">
        <v>9826.92</v>
      </c>
      <c r="N28" s="238">
        <v>9269</v>
      </c>
      <c r="O28" s="238">
        <v>9704</v>
      </c>
      <c r="P28" s="54">
        <f>O28-N28</f>
        <v>435</v>
      </c>
      <c r="Q28" s="54"/>
      <c r="R28" s="54"/>
      <c r="S28" s="98">
        <f aca="true" t="shared" si="1" ref="S28:S34">1000*(R28+Q28+P28)/M28</f>
        <v>44.266158674335394</v>
      </c>
    </row>
    <row r="29" spans="1:19" ht="90" customHeight="1" thickBot="1">
      <c r="A29" s="14"/>
      <c r="B29" s="405"/>
      <c r="C29" s="49" t="s">
        <v>8</v>
      </c>
      <c r="D29" s="50" t="s">
        <v>87</v>
      </c>
      <c r="E29" s="161" t="s">
        <v>86</v>
      </c>
      <c r="F29" s="140"/>
      <c r="G29" s="169">
        <v>33</v>
      </c>
      <c r="H29" s="347"/>
      <c r="I29" s="357"/>
      <c r="J29" s="27"/>
      <c r="K29" s="349"/>
      <c r="L29" s="43"/>
      <c r="M29" s="111">
        <v>4147.21</v>
      </c>
      <c r="N29" s="239">
        <v>3417</v>
      </c>
      <c r="O29" s="239">
        <v>3579</v>
      </c>
      <c r="P29" s="55">
        <f aca="true" t="shared" si="2" ref="P29:P34">O29-N29</f>
        <v>162</v>
      </c>
      <c r="Q29" s="55"/>
      <c r="R29" s="55"/>
      <c r="S29" s="98">
        <f t="shared" si="1"/>
        <v>39.06240581017118</v>
      </c>
    </row>
    <row r="30" spans="1:19" ht="90" customHeight="1" thickBot="1">
      <c r="A30" s="14"/>
      <c r="B30" s="405"/>
      <c r="C30" s="49" t="s">
        <v>9</v>
      </c>
      <c r="D30" s="50" t="s">
        <v>88</v>
      </c>
      <c r="E30" s="161" t="s">
        <v>86</v>
      </c>
      <c r="F30" s="140"/>
      <c r="G30" s="169">
        <v>56</v>
      </c>
      <c r="H30" s="347"/>
      <c r="I30" s="357"/>
      <c r="J30" s="28"/>
      <c r="K30" s="349"/>
      <c r="L30" s="39"/>
      <c r="M30" s="111">
        <v>7057.53</v>
      </c>
      <c r="N30" s="239">
        <v>7218</v>
      </c>
      <c r="O30" s="239">
        <v>7505</v>
      </c>
      <c r="P30" s="55">
        <f t="shared" si="2"/>
        <v>287</v>
      </c>
      <c r="Q30" s="55"/>
      <c r="R30" s="55"/>
      <c r="S30" s="98">
        <f t="shared" si="1"/>
        <v>40.66578533849661</v>
      </c>
    </row>
    <row r="31" spans="1:19" ht="90" customHeight="1" thickBot="1">
      <c r="A31" s="14"/>
      <c r="B31" s="405"/>
      <c r="C31" s="49" t="s">
        <v>10</v>
      </c>
      <c r="D31" s="50" t="s">
        <v>89</v>
      </c>
      <c r="E31" s="161" t="s">
        <v>86</v>
      </c>
      <c r="F31" s="140"/>
      <c r="G31" s="169">
        <v>60</v>
      </c>
      <c r="H31" s="347"/>
      <c r="I31" s="357"/>
      <c r="J31" s="27"/>
      <c r="K31" s="349"/>
      <c r="L31" s="43"/>
      <c r="M31" s="111">
        <v>7538.85</v>
      </c>
      <c r="N31" s="239">
        <v>7527</v>
      </c>
      <c r="O31" s="239">
        <v>7867</v>
      </c>
      <c r="P31" s="55">
        <f t="shared" si="2"/>
        <v>340</v>
      </c>
      <c r="Q31" s="55"/>
      <c r="R31" s="55"/>
      <c r="S31" s="98">
        <f t="shared" si="1"/>
        <v>45.09971680030774</v>
      </c>
    </row>
    <row r="32" spans="1:19" ht="105" customHeight="1" thickBot="1">
      <c r="A32" s="14"/>
      <c r="B32" s="405"/>
      <c r="C32" s="49" t="s">
        <v>11</v>
      </c>
      <c r="D32" s="50" t="s">
        <v>90</v>
      </c>
      <c r="E32" s="158" t="s">
        <v>109</v>
      </c>
      <c r="F32" s="140"/>
      <c r="G32" s="169">
        <v>32</v>
      </c>
      <c r="H32" s="347"/>
      <c r="I32" s="357"/>
      <c r="J32" s="28"/>
      <c r="K32" s="349"/>
      <c r="L32" s="39"/>
      <c r="M32" s="111">
        <v>4006.13</v>
      </c>
      <c r="N32" s="239">
        <v>3226</v>
      </c>
      <c r="O32" s="239">
        <v>3372</v>
      </c>
      <c r="P32" s="55">
        <f t="shared" si="2"/>
        <v>146</v>
      </c>
      <c r="Q32" s="55"/>
      <c r="R32" s="55"/>
      <c r="S32" s="98">
        <f t="shared" si="1"/>
        <v>36.44414934113471</v>
      </c>
    </row>
    <row r="33" spans="1:19" ht="116.25" customHeight="1" thickBot="1">
      <c r="A33" s="14"/>
      <c r="B33" s="405"/>
      <c r="C33" s="49" t="s">
        <v>12</v>
      </c>
      <c r="D33" s="50" t="s">
        <v>91</v>
      </c>
      <c r="E33" s="158" t="s">
        <v>109</v>
      </c>
      <c r="F33" s="140"/>
      <c r="G33" s="169">
        <v>55</v>
      </c>
      <c r="H33" s="347"/>
      <c r="I33" s="357"/>
      <c r="J33" s="27"/>
      <c r="K33" s="349"/>
      <c r="L33" s="43"/>
      <c r="M33" s="111">
        <v>6916.81</v>
      </c>
      <c r="N33" s="239">
        <v>5449</v>
      </c>
      <c r="O33" s="239">
        <v>5615</v>
      </c>
      <c r="P33" s="55">
        <f t="shared" si="2"/>
        <v>166</v>
      </c>
      <c r="Q33" s="55"/>
      <c r="R33" s="55"/>
      <c r="S33" s="98">
        <f t="shared" si="1"/>
        <v>23.99950266090871</v>
      </c>
    </row>
    <row r="34" spans="1:19" ht="120" customHeight="1" thickBot="1">
      <c r="A34" s="14"/>
      <c r="B34" s="405"/>
      <c r="C34" s="49" t="s">
        <v>13</v>
      </c>
      <c r="D34" s="50" t="s">
        <v>92</v>
      </c>
      <c r="E34" s="158" t="s">
        <v>109</v>
      </c>
      <c r="F34" s="140"/>
      <c r="G34" s="169">
        <v>56</v>
      </c>
      <c r="H34" s="347"/>
      <c r="I34" s="357"/>
      <c r="J34" s="28"/>
      <c r="K34" s="349"/>
      <c r="L34" s="39"/>
      <c r="M34" s="111">
        <v>7057.87</v>
      </c>
      <c r="N34" s="239">
        <v>2834</v>
      </c>
      <c r="O34" s="239">
        <v>2906</v>
      </c>
      <c r="P34" s="55">
        <f t="shared" si="2"/>
        <v>72</v>
      </c>
      <c r="Q34" s="55"/>
      <c r="R34" s="55"/>
      <c r="S34" s="98">
        <f t="shared" si="1"/>
        <v>10.201378036149716</v>
      </c>
    </row>
    <row r="35" spans="1:19" ht="90" customHeight="1">
      <c r="A35" s="14"/>
      <c r="B35" s="405"/>
      <c r="C35" s="319" t="s">
        <v>14</v>
      </c>
      <c r="D35" s="51" t="s">
        <v>93</v>
      </c>
      <c r="E35" s="162" t="s">
        <v>86</v>
      </c>
      <c r="F35" s="141"/>
      <c r="G35" s="170">
        <v>80</v>
      </c>
      <c r="H35" s="347"/>
      <c r="I35" s="357"/>
      <c r="J35" s="348"/>
      <c r="K35" s="349"/>
      <c r="L35" s="355"/>
      <c r="M35" s="114">
        <v>7981.6</v>
      </c>
      <c r="N35" s="337">
        <v>3412</v>
      </c>
      <c r="O35" s="337">
        <v>3595</v>
      </c>
      <c r="P35" s="58">
        <f>(O35-N35)*M35/SUM(M35:M39)</f>
        <v>137.5102782058729</v>
      </c>
      <c r="Q35" s="58"/>
      <c r="R35" s="62"/>
      <c r="S35" s="361">
        <f>1000*(P40)/(M35+M36+M37+M38+M39)</f>
        <v>17.22841011900783</v>
      </c>
    </row>
    <row r="36" spans="1:19" ht="90" customHeight="1">
      <c r="A36" s="14"/>
      <c r="B36" s="405"/>
      <c r="C36" s="319"/>
      <c r="D36" s="60" t="s">
        <v>29</v>
      </c>
      <c r="E36" s="167" t="s">
        <v>86</v>
      </c>
      <c r="F36" s="142"/>
      <c r="G36" s="171"/>
      <c r="H36" s="347"/>
      <c r="I36" s="357"/>
      <c r="J36" s="349"/>
      <c r="K36" s="349"/>
      <c r="L36" s="355"/>
      <c r="M36" s="117">
        <v>320.76</v>
      </c>
      <c r="N36" s="337"/>
      <c r="O36" s="337"/>
      <c r="P36" s="63"/>
      <c r="Q36" s="63">
        <f>(O35-N35)*M36/SUM(M35:M39)</f>
        <v>5.5261848297729514</v>
      </c>
      <c r="R36" s="64"/>
      <c r="S36" s="391"/>
    </row>
    <row r="37" spans="1:19" ht="90" customHeight="1">
      <c r="A37" s="14"/>
      <c r="B37" s="405"/>
      <c r="C37" s="319"/>
      <c r="D37" s="60" t="s">
        <v>30</v>
      </c>
      <c r="E37" s="167" t="s">
        <v>86</v>
      </c>
      <c r="F37" s="142"/>
      <c r="G37" s="171"/>
      <c r="H37" s="347"/>
      <c r="I37" s="357"/>
      <c r="J37" s="349"/>
      <c r="K37" s="349"/>
      <c r="L37" s="355"/>
      <c r="M37" s="117">
        <v>192</v>
      </c>
      <c r="N37" s="337"/>
      <c r="O37" s="337"/>
      <c r="P37" s="64"/>
      <c r="Q37" s="64"/>
      <c r="R37" s="64">
        <f>(O35-N35)*M37/SUM(M35:M39)</f>
        <v>3.307854742849503</v>
      </c>
      <c r="S37" s="391"/>
    </row>
    <row r="38" spans="1:19" ht="90" customHeight="1">
      <c r="A38" s="14"/>
      <c r="B38" s="405"/>
      <c r="C38" s="319"/>
      <c r="D38" s="60" t="s">
        <v>31</v>
      </c>
      <c r="E38" s="167" t="s">
        <v>86</v>
      </c>
      <c r="F38" s="142"/>
      <c r="G38" s="171"/>
      <c r="H38" s="347"/>
      <c r="I38" s="357"/>
      <c r="J38" s="349"/>
      <c r="K38" s="349"/>
      <c r="L38" s="355"/>
      <c r="M38" s="117">
        <v>1590.6</v>
      </c>
      <c r="N38" s="337"/>
      <c r="O38" s="337"/>
      <c r="P38" s="64"/>
      <c r="Q38" s="64"/>
      <c r="R38" s="64">
        <f>(O35-N35)*M38/SUM(M35:M39)</f>
        <v>27.403509135293852</v>
      </c>
      <c r="S38" s="391"/>
    </row>
    <row r="39" spans="1:19" ht="90" customHeight="1">
      <c r="A39" s="14"/>
      <c r="B39" s="405"/>
      <c r="C39" s="319"/>
      <c r="D39" s="60" t="s">
        <v>32</v>
      </c>
      <c r="E39" s="167" t="s">
        <v>86</v>
      </c>
      <c r="F39" s="142"/>
      <c r="G39" s="171"/>
      <c r="H39" s="347"/>
      <c r="I39" s="357"/>
      <c r="J39" s="349"/>
      <c r="K39" s="349"/>
      <c r="L39" s="355"/>
      <c r="M39" s="117">
        <v>537.03</v>
      </c>
      <c r="N39" s="337"/>
      <c r="O39" s="337"/>
      <c r="P39" s="64"/>
      <c r="Q39" s="64"/>
      <c r="R39" s="64">
        <f>(O35-N35)*M39/SUM(M35:M39)</f>
        <v>9.252173086210774</v>
      </c>
      <c r="S39" s="391"/>
    </row>
    <row r="40" spans="1:19" ht="90" customHeight="1" thickBot="1">
      <c r="A40" s="14"/>
      <c r="B40" s="405"/>
      <c r="C40" s="320"/>
      <c r="D40" s="327" t="s">
        <v>103</v>
      </c>
      <c r="E40" s="328"/>
      <c r="F40" s="143"/>
      <c r="G40" s="172"/>
      <c r="H40" s="347"/>
      <c r="I40" s="357"/>
      <c r="J40" s="350"/>
      <c r="K40" s="349"/>
      <c r="L40" s="356"/>
      <c r="M40" s="115"/>
      <c r="N40" s="324"/>
      <c r="O40" s="324"/>
      <c r="P40" s="338">
        <f>SUM(P35:P39)+SUM(R35:R39)+SUM(Q35:Q39)</f>
        <v>183</v>
      </c>
      <c r="Q40" s="339"/>
      <c r="R40" s="340"/>
      <c r="S40" s="364"/>
    </row>
    <row r="41" spans="1:19" ht="90" customHeight="1">
      <c r="A41" s="14"/>
      <c r="B41" s="405"/>
      <c r="C41" s="46"/>
      <c r="D41" s="61" t="s">
        <v>106</v>
      </c>
      <c r="E41" s="167" t="s">
        <v>86</v>
      </c>
      <c r="F41" s="141"/>
      <c r="G41" s="170"/>
      <c r="H41" s="347"/>
      <c r="I41" s="357"/>
      <c r="J41" s="341"/>
      <c r="K41" s="349"/>
      <c r="L41" s="42"/>
      <c r="M41" s="114">
        <v>1543</v>
      </c>
      <c r="N41" s="242">
        <v>325</v>
      </c>
      <c r="O41" s="242">
        <v>353</v>
      </c>
      <c r="P41" s="65"/>
      <c r="Q41" s="65">
        <f>O41-N41</f>
        <v>28</v>
      </c>
      <c r="R41" s="66"/>
      <c r="S41" s="100">
        <f>SUM(Q41/M41)*1000</f>
        <v>18.14646791963707</v>
      </c>
    </row>
    <row r="42" spans="1:19" ht="90" customHeight="1">
      <c r="A42" s="14"/>
      <c r="B42" s="405"/>
      <c r="C42" s="46"/>
      <c r="D42" s="61" t="s">
        <v>124</v>
      </c>
      <c r="E42" s="167" t="s">
        <v>86</v>
      </c>
      <c r="F42" s="141"/>
      <c r="G42" s="170"/>
      <c r="H42" s="347"/>
      <c r="I42" s="357"/>
      <c r="J42" s="342"/>
      <c r="K42" s="349"/>
      <c r="L42" s="42"/>
      <c r="M42" s="114">
        <v>207</v>
      </c>
      <c r="N42" s="242">
        <v>177</v>
      </c>
      <c r="O42" s="242">
        <v>186</v>
      </c>
      <c r="P42" s="65"/>
      <c r="Q42" s="65">
        <f>O42-N42</f>
        <v>9</v>
      </c>
      <c r="R42" s="66"/>
      <c r="S42" s="100">
        <f>SUM(Q42/M42)*1000</f>
        <v>43.47826086956522</v>
      </c>
    </row>
    <row r="43" spans="1:19" ht="90" customHeight="1" thickBot="1">
      <c r="A43" s="14"/>
      <c r="B43" s="405"/>
      <c r="C43" s="344" t="s">
        <v>105</v>
      </c>
      <c r="D43" s="345"/>
      <c r="E43" s="167" t="s">
        <v>86</v>
      </c>
      <c r="F43" s="144"/>
      <c r="G43" s="173"/>
      <c r="H43" s="347"/>
      <c r="I43" s="357"/>
      <c r="J43" s="343"/>
      <c r="K43" s="393"/>
      <c r="L43" s="29"/>
      <c r="M43" s="116">
        <v>3927</v>
      </c>
      <c r="N43" s="243">
        <v>3698</v>
      </c>
      <c r="O43" s="243">
        <v>3863</v>
      </c>
      <c r="P43" s="131"/>
      <c r="Q43" s="131">
        <f>O43-N43-Q41-Q42</f>
        <v>128</v>
      </c>
      <c r="R43" s="67"/>
      <c r="S43" s="100">
        <f>SUM(Q43/M43)*1000</f>
        <v>32.594856124267885</v>
      </c>
    </row>
    <row r="44" spans="1:19" s="2" customFormat="1" ht="90" customHeight="1" thickBot="1" thickTop="1">
      <c r="A44" s="21"/>
      <c r="B44" s="405"/>
      <c r="C44" s="394" t="s">
        <v>85</v>
      </c>
      <c r="D44" s="395"/>
      <c r="E44" s="395"/>
      <c r="F44" s="126"/>
      <c r="G44" s="174">
        <f>SUM(G28+G29+G30+G31+G32+G33+G34+G35)</f>
        <v>450</v>
      </c>
      <c r="H44" s="347"/>
      <c r="I44" s="297"/>
      <c r="J44" s="298">
        <f>SUM(M28:M43)</f>
        <v>62850.310000000005</v>
      </c>
      <c r="K44" s="299"/>
      <c r="L44" s="300"/>
      <c r="M44" s="301"/>
      <c r="N44" s="77">
        <f>SUM(N28:N43)</f>
        <v>46552</v>
      </c>
      <c r="O44" s="77">
        <f>SUM(O28:O43)</f>
        <v>48545</v>
      </c>
      <c r="P44" s="78">
        <f>SUM(P28:P43)-P40</f>
        <v>1745.510278205873</v>
      </c>
      <c r="Q44" s="78">
        <f>SUM(Q28:Q43)</f>
        <v>170.52618482977294</v>
      </c>
      <c r="R44" s="78">
        <f>SUM(R28:R43)</f>
        <v>39.963536964354134</v>
      </c>
      <c r="S44" s="102">
        <f>1000*(R44+Q44+P44)/J44</f>
        <v>31.12156487374525</v>
      </c>
    </row>
    <row r="45" spans="1:19" s="2" customFormat="1" ht="13.5" customHeight="1">
      <c r="A45" s="21"/>
      <c r="B45" s="406"/>
      <c r="C45" s="387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</row>
    <row r="46" spans="2:19" s="2" customFormat="1" ht="9" customHeight="1">
      <c r="B46" s="17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2:19" s="8" customFormat="1" ht="13.5" customHeight="1" thickBot="1">
      <c r="B47" s="351" t="s">
        <v>84</v>
      </c>
      <c r="C47" s="407" t="s">
        <v>73</v>
      </c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</row>
    <row r="48" spans="2:19" ht="90" customHeight="1" thickBot="1">
      <c r="B48" s="352"/>
      <c r="C48" s="229" t="s">
        <v>118</v>
      </c>
      <c r="D48" s="228"/>
      <c r="E48" s="434" t="s">
        <v>123</v>
      </c>
      <c r="F48" s="435"/>
      <c r="G48" s="188"/>
      <c r="H48" s="418"/>
      <c r="I48" s="431"/>
      <c r="J48" s="421"/>
      <c r="K48" s="416"/>
      <c r="L48" s="191"/>
      <c r="M48" s="189"/>
      <c r="N48" s="244">
        <v>34</v>
      </c>
      <c r="O48" s="244">
        <v>35</v>
      </c>
      <c r="P48" s="253">
        <f>O48-N48</f>
        <v>1</v>
      </c>
      <c r="Q48" s="190"/>
      <c r="R48" s="190"/>
      <c r="S48" s="189"/>
    </row>
    <row r="49" spans="2:19" ht="90" customHeight="1">
      <c r="B49" s="352"/>
      <c r="C49" s="373" t="s">
        <v>121</v>
      </c>
      <c r="D49" s="68" t="s">
        <v>119</v>
      </c>
      <c r="E49" s="187" t="s">
        <v>86</v>
      </c>
      <c r="F49" s="145"/>
      <c r="G49" s="180">
        <v>23</v>
      </c>
      <c r="H49" s="418"/>
      <c r="I49" s="432"/>
      <c r="J49" s="399"/>
      <c r="K49" s="417"/>
      <c r="L49" s="10"/>
      <c r="M49" s="201">
        <v>3700.7</v>
      </c>
      <c r="N49" s="408">
        <v>623</v>
      </c>
      <c r="O49" s="408">
        <v>759</v>
      </c>
      <c r="P49" s="227">
        <f>SUM(O49-N49)-R50</f>
        <v>130.33333333333334</v>
      </c>
      <c r="Q49" s="128"/>
      <c r="R49" s="128"/>
      <c r="S49" s="202">
        <f>1000*(R49+Q49+P49)/M49</f>
        <v>35.21856225398799</v>
      </c>
    </row>
    <row r="50" spans="2:19" ht="90" customHeight="1">
      <c r="B50" s="352"/>
      <c r="C50" s="319"/>
      <c r="D50" s="60" t="s">
        <v>119</v>
      </c>
      <c r="E50" s="167" t="s">
        <v>86</v>
      </c>
      <c r="F50" s="146"/>
      <c r="G50" s="85">
        <v>1</v>
      </c>
      <c r="H50" s="418"/>
      <c r="I50" s="432"/>
      <c r="J50" s="399"/>
      <c r="K50" s="417"/>
      <c r="L50" s="10"/>
      <c r="M50" s="203">
        <v>160.9</v>
      </c>
      <c r="N50" s="409"/>
      <c r="O50" s="409"/>
      <c r="P50" s="130"/>
      <c r="Q50" s="130"/>
      <c r="R50" s="227">
        <f>(O49-N49)/(M49+M50)*M50</f>
        <v>5.666666666666667</v>
      </c>
      <c r="S50" s="202">
        <f>1000*(R50+Q50+P50)/M50</f>
        <v>35.21856225398798</v>
      </c>
    </row>
    <row r="51" spans="2:19" ht="90" customHeight="1">
      <c r="B51" s="352"/>
      <c r="C51" s="319"/>
      <c r="D51" s="60" t="s">
        <v>95</v>
      </c>
      <c r="E51" s="167" t="s">
        <v>86</v>
      </c>
      <c r="F51" s="146"/>
      <c r="G51" s="85">
        <v>8</v>
      </c>
      <c r="H51" s="418"/>
      <c r="I51" s="432"/>
      <c r="J51" s="399"/>
      <c r="K51" s="417"/>
      <c r="L51" s="10"/>
      <c r="M51" s="117">
        <v>1264.8</v>
      </c>
      <c r="N51" s="240">
        <v>138</v>
      </c>
      <c r="O51" s="240">
        <v>168</v>
      </c>
      <c r="P51" s="130">
        <f>O51-N51</f>
        <v>30</v>
      </c>
      <c r="Q51" s="69"/>
      <c r="R51" s="69"/>
      <c r="S51" s="100">
        <f aca="true" t="shared" si="3" ref="S51:S59">1000*(R51+Q51+P51)/M51</f>
        <v>23.719165085388994</v>
      </c>
    </row>
    <row r="52" spans="2:19" ht="90" customHeight="1">
      <c r="B52" s="352"/>
      <c r="C52" s="319"/>
      <c r="D52" s="60" t="s">
        <v>96</v>
      </c>
      <c r="E52" s="167" t="s">
        <v>86</v>
      </c>
      <c r="F52" s="146"/>
      <c r="G52" s="85">
        <v>8</v>
      </c>
      <c r="H52" s="418"/>
      <c r="I52" s="432"/>
      <c r="J52" s="399"/>
      <c r="K52" s="417"/>
      <c r="L52" s="10"/>
      <c r="M52" s="117">
        <v>1264.8</v>
      </c>
      <c r="N52" s="245">
        <v>122</v>
      </c>
      <c r="O52" s="245">
        <v>151</v>
      </c>
      <c r="P52" s="130">
        <f aca="true" t="shared" si="4" ref="P52:P59">O52-N52</f>
        <v>29</v>
      </c>
      <c r="Q52" s="69"/>
      <c r="R52" s="69"/>
      <c r="S52" s="100">
        <f t="shared" si="3"/>
        <v>22.928526249209362</v>
      </c>
    </row>
    <row r="53" spans="2:19" ht="90" customHeight="1">
      <c r="B53" s="352"/>
      <c r="C53" s="319"/>
      <c r="D53" s="60" t="s">
        <v>97</v>
      </c>
      <c r="E53" s="167" t="s">
        <v>86</v>
      </c>
      <c r="F53" s="146"/>
      <c r="G53" s="85">
        <v>8</v>
      </c>
      <c r="H53" s="418"/>
      <c r="I53" s="432"/>
      <c r="J53" s="399"/>
      <c r="K53" s="417"/>
      <c r="L53" s="10"/>
      <c r="M53" s="117">
        <v>1264.8</v>
      </c>
      <c r="N53" s="245">
        <v>157</v>
      </c>
      <c r="O53" s="245">
        <v>192</v>
      </c>
      <c r="P53" s="130">
        <f t="shared" si="4"/>
        <v>35</v>
      </c>
      <c r="Q53" s="69"/>
      <c r="R53" s="69"/>
      <c r="S53" s="100">
        <f t="shared" si="3"/>
        <v>27.67235926628716</v>
      </c>
    </row>
    <row r="54" spans="2:19" ht="90" customHeight="1">
      <c r="B54" s="352"/>
      <c r="C54" s="319"/>
      <c r="D54" s="60" t="s">
        <v>98</v>
      </c>
      <c r="E54" s="167" t="s">
        <v>86</v>
      </c>
      <c r="F54" s="176" t="s">
        <v>115</v>
      </c>
      <c r="G54" s="85">
        <v>8</v>
      </c>
      <c r="H54" s="418"/>
      <c r="I54" s="432"/>
      <c r="J54" s="399"/>
      <c r="K54" s="417"/>
      <c r="L54" s="10"/>
      <c r="M54" s="117">
        <v>1264.8</v>
      </c>
      <c r="N54" s="246">
        <v>136</v>
      </c>
      <c r="O54" s="246">
        <v>166</v>
      </c>
      <c r="P54" s="130">
        <f t="shared" si="4"/>
        <v>30</v>
      </c>
      <c r="Q54" s="69"/>
      <c r="R54" s="69"/>
      <c r="S54" s="100">
        <f t="shared" si="3"/>
        <v>23.719165085388994</v>
      </c>
    </row>
    <row r="55" spans="2:19" ht="90" customHeight="1">
      <c r="B55" s="352"/>
      <c r="C55" s="319"/>
      <c r="D55" s="60" t="s">
        <v>99</v>
      </c>
      <c r="E55" s="167" t="s">
        <v>86</v>
      </c>
      <c r="F55" s="176" t="s">
        <v>115</v>
      </c>
      <c r="G55" s="85">
        <v>8</v>
      </c>
      <c r="H55" s="418"/>
      <c r="I55" s="432"/>
      <c r="J55" s="399"/>
      <c r="K55" s="417"/>
      <c r="L55" s="10"/>
      <c r="M55" s="117">
        <v>1264.8</v>
      </c>
      <c r="N55" s="245">
        <v>147</v>
      </c>
      <c r="O55" s="245">
        <v>181</v>
      </c>
      <c r="P55" s="130">
        <f t="shared" si="4"/>
        <v>34</v>
      </c>
      <c r="Q55" s="69"/>
      <c r="R55" s="69"/>
      <c r="S55" s="100">
        <f t="shared" si="3"/>
        <v>26.881720430107528</v>
      </c>
    </row>
    <row r="56" spans="2:19" ht="90" customHeight="1">
      <c r="B56" s="352"/>
      <c r="C56" s="319"/>
      <c r="D56" s="60" t="s">
        <v>100</v>
      </c>
      <c r="E56" s="167" t="s">
        <v>86</v>
      </c>
      <c r="F56" s="176" t="s">
        <v>115</v>
      </c>
      <c r="G56" s="85">
        <v>8</v>
      </c>
      <c r="H56" s="418"/>
      <c r="I56" s="432"/>
      <c r="J56" s="399"/>
      <c r="K56" s="417"/>
      <c r="L56" s="10"/>
      <c r="M56" s="117">
        <v>1256.71</v>
      </c>
      <c r="N56" s="245">
        <v>146</v>
      </c>
      <c r="O56" s="245">
        <v>178</v>
      </c>
      <c r="P56" s="130">
        <f t="shared" si="4"/>
        <v>32</v>
      </c>
      <c r="Q56" s="69"/>
      <c r="R56" s="69"/>
      <c r="S56" s="100">
        <f t="shared" si="3"/>
        <v>25.4633129361587</v>
      </c>
    </row>
    <row r="57" spans="2:19" ht="90" customHeight="1">
      <c r="B57" s="352"/>
      <c r="C57" s="319"/>
      <c r="D57" s="60" t="s">
        <v>49</v>
      </c>
      <c r="E57" s="167" t="s">
        <v>86</v>
      </c>
      <c r="F57" s="146"/>
      <c r="G57" s="85">
        <v>8</v>
      </c>
      <c r="H57" s="418"/>
      <c r="I57" s="432"/>
      <c r="J57" s="399"/>
      <c r="K57" s="417"/>
      <c r="L57" s="10"/>
      <c r="M57" s="117">
        <v>1264.8</v>
      </c>
      <c r="N57" s="245">
        <v>176</v>
      </c>
      <c r="O57" s="245">
        <v>219</v>
      </c>
      <c r="P57" s="130">
        <f t="shared" si="4"/>
        <v>43</v>
      </c>
      <c r="Q57" s="69"/>
      <c r="R57" s="69"/>
      <c r="S57" s="100">
        <f t="shared" si="3"/>
        <v>33.99746995572423</v>
      </c>
    </row>
    <row r="58" spans="2:19" ht="90" customHeight="1">
      <c r="B58" s="352"/>
      <c r="C58" s="319"/>
      <c r="D58" s="60" t="s">
        <v>48</v>
      </c>
      <c r="E58" s="167" t="s">
        <v>86</v>
      </c>
      <c r="F58" s="146"/>
      <c r="G58" s="85">
        <v>8</v>
      </c>
      <c r="H58" s="418"/>
      <c r="I58" s="432"/>
      <c r="J58" s="399"/>
      <c r="K58" s="417"/>
      <c r="L58" s="10"/>
      <c r="M58" s="117">
        <v>1264.8</v>
      </c>
      <c r="N58" s="246">
        <v>270</v>
      </c>
      <c r="O58" s="246">
        <v>312</v>
      </c>
      <c r="P58" s="130">
        <f t="shared" si="4"/>
        <v>42</v>
      </c>
      <c r="Q58" s="69"/>
      <c r="R58" s="69"/>
      <c r="S58" s="100">
        <f t="shared" si="3"/>
        <v>33.206831119544596</v>
      </c>
    </row>
    <row r="59" spans="2:19" ht="90" customHeight="1" thickBot="1">
      <c r="B59" s="352"/>
      <c r="C59" s="319"/>
      <c r="D59" s="53" t="s">
        <v>50</v>
      </c>
      <c r="E59" s="164" t="s">
        <v>86</v>
      </c>
      <c r="F59" s="147"/>
      <c r="G59" s="86">
        <v>8</v>
      </c>
      <c r="H59" s="418"/>
      <c r="I59" s="432"/>
      <c r="J59" s="422"/>
      <c r="K59" s="426"/>
      <c r="L59" s="25"/>
      <c r="M59" s="116">
        <v>1264.8</v>
      </c>
      <c r="N59" s="247">
        <v>193</v>
      </c>
      <c r="O59" s="247">
        <v>236</v>
      </c>
      <c r="P59" s="130">
        <f t="shared" si="4"/>
        <v>43</v>
      </c>
      <c r="Q59" s="129"/>
      <c r="R59" s="70"/>
      <c r="S59" s="100">
        <f t="shared" si="3"/>
        <v>33.99746995572423</v>
      </c>
    </row>
    <row r="60" spans="2:19" ht="90" customHeight="1" thickBot="1" thickTop="1">
      <c r="B60" s="352"/>
      <c r="C60" s="319"/>
      <c r="D60" s="382" t="s">
        <v>72</v>
      </c>
      <c r="E60" s="383"/>
      <c r="F60" s="148"/>
      <c r="G60" s="196">
        <f>SUM(G49+G51+G52+G53+G54+G55+G56+G57+G58+G59)</f>
        <v>95</v>
      </c>
      <c r="H60" s="418"/>
      <c r="I60" s="432"/>
      <c r="J60" s="410">
        <f>SUM(M48:M59)</f>
        <v>15236.709999999995</v>
      </c>
      <c r="K60" s="411"/>
      <c r="L60" s="411"/>
      <c r="M60" s="412"/>
      <c r="N60" s="80">
        <f>SUM(N49:N59)</f>
        <v>2108</v>
      </c>
      <c r="O60" s="80">
        <f>SUM(O49:O59)</f>
        <v>2562</v>
      </c>
      <c r="P60" s="79">
        <f>SUM(P48:P59)</f>
        <v>449.33333333333337</v>
      </c>
      <c r="Q60" s="281"/>
      <c r="R60" s="282"/>
      <c r="S60" s="104"/>
    </row>
    <row r="61" spans="2:19" ht="90" customHeight="1">
      <c r="B61" s="352"/>
      <c r="C61" s="373" t="s">
        <v>121</v>
      </c>
      <c r="D61" s="233" t="s">
        <v>51</v>
      </c>
      <c r="E61" s="167" t="s">
        <v>86</v>
      </c>
      <c r="F61" s="146"/>
      <c r="G61" s="85">
        <v>8</v>
      </c>
      <c r="H61" s="418"/>
      <c r="I61" s="432"/>
      <c r="J61" s="26"/>
      <c r="K61" s="365"/>
      <c r="L61" s="419"/>
      <c r="M61" s="117">
        <v>1264.8</v>
      </c>
      <c r="N61" s="245">
        <v>133</v>
      </c>
      <c r="O61" s="245">
        <v>163</v>
      </c>
      <c r="P61" s="69">
        <f>O61-N61</f>
        <v>30</v>
      </c>
      <c r="Q61" s="69"/>
      <c r="R61" s="69"/>
      <c r="S61" s="103">
        <f>1000*(R61+Q61+P61)/M61</f>
        <v>23.719165085388994</v>
      </c>
    </row>
    <row r="62" spans="2:19" ht="90" customHeight="1" thickBot="1">
      <c r="B62" s="352"/>
      <c r="C62" s="319"/>
      <c r="D62" s="234" t="s">
        <v>52</v>
      </c>
      <c r="E62" s="164" t="s">
        <v>86</v>
      </c>
      <c r="F62" s="147"/>
      <c r="G62" s="86">
        <v>8</v>
      </c>
      <c r="H62" s="418"/>
      <c r="I62" s="432"/>
      <c r="J62" s="32"/>
      <c r="K62" s="343"/>
      <c r="L62" s="420"/>
      <c r="M62" s="116">
        <v>1264.8</v>
      </c>
      <c r="N62" s="247">
        <v>131</v>
      </c>
      <c r="O62" s="247">
        <v>160</v>
      </c>
      <c r="P62" s="69">
        <f>O62-N62</f>
        <v>29</v>
      </c>
      <c r="Q62" s="129"/>
      <c r="R62" s="70"/>
      <c r="S62" s="103">
        <f>1000*(R62+Q62+P62)/M62</f>
        <v>22.928526249209362</v>
      </c>
    </row>
    <row r="63" spans="2:19" ht="90" customHeight="1" thickBot="1" thickTop="1">
      <c r="B63" s="352"/>
      <c r="C63" s="320"/>
      <c r="D63" s="445" t="s">
        <v>72</v>
      </c>
      <c r="E63" s="383"/>
      <c r="F63" s="148"/>
      <c r="G63" s="196">
        <f>SUM(G61:G62)</f>
        <v>16</v>
      </c>
      <c r="H63" s="418"/>
      <c r="I63" s="432"/>
      <c r="J63" s="423">
        <f>SUM(M61:M62)</f>
        <v>2529.6</v>
      </c>
      <c r="K63" s="424"/>
      <c r="L63" s="424"/>
      <c r="M63" s="425"/>
      <c r="N63" s="80">
        <f>SUM(N61:N62)</f>
        <v>264</v>
      </c>
      <c r="O63" s="80">
        <f>SUM(O61:O62)</f>
        <v>323</v>
      </c>
      <c r="P63" s="79">
        <f>SUM(P61:P62)</f>
        <v>59</v>
      </c>
      <c r="Q63" s="281"/>
      <c r="R63" s="282"/>
      <c r="S63" s="104"/>
    </row>
    <row r="64" spans="2:19" ht="90" customHeight="1" thickBot="1">
      <c r="B64" s="352"/>
      <c r="C64" s="71" t="s">
        <v>15</v>
      </c>
      <c r="D64" s="48" t="s">
        <v>16</v>
      </c>
      <c r="E64" s="163" t="s">
        <v>102</v>
      </c>
      <c r="F64" s="149"/>
      <c r="G64" s="87">
        <v>85</v>
      </c>
      <c r="H64" s="418"/>
      <c r="I64" s="432"/>
      <c r="J64" s="31"/>
      <c r="K64" s="416"/>
      <c r="L64" s="37"/>
      <c r="M64" s="118">
        <v>11989</v>
      </c>
      <c r="N64" s="248">
        <v>4346</v>
      </c>
      <c r="O64" s="248">
        <v>4776</v>
      </c>
      <c r="P64" s="73">
        <f>O64-N64</f>
        <v>430</v>
      </c>
      <c r="Q64" s="73"/>
      <c r="R64" s="73"/>
      <c r="S64" s="105">
        <f>1000*(R64+P64)/M64</f>
        <v>35.86621069313537</v>
      </c>
    </row>
    <row r="65" spans="2:19" ht="90" customHeight="1" thickBot="1">
      <c r="B65" s="352"/>
      <c r="C65" s="72" t="s">
        <v>17</v>
      </c>
      <c r="D65" s="50" t="s">
        <v>18</v>
      </c>
      <c r="E65" s="161" t="s">
        <v>102</v>
      </c>
      <c r="F65" s="41"/>
      <c r="G65" s="88">
        <v>60</v>
      </c>
      <c r="H65" s="418"/>
      <c r="I65" s="432"/>
      <c r="J65" s="10"/>
      <c r="K65" s="417"/>
      <c r="L65" s="40"/>
      <c r="M65" s="119">
        <v>8258.67</v>
      </c>
      <c r="N65" s="239">
        <v>1889</v>
      </c>
      <c r="O65" s="239">
        <v>2034</v>
      </c>
      <c r="P65" s="55">
        <f>O65-N65</f>
        <v>145</v>
      </c>
      <c r="Q65" s="55"/>
      <c r="R65" s="55"/>
      <c r="S65" s="99">
        <f>1000*(R65+P65)/M65</f>
        <v>17.557306442804954</v>
      </c>
    </row>
    <row r="66" spans="2:19" ht="90" customHeight="1" thickBot="1">
      <c r="B66" s="352"/>
      <c r="C66" s="373" t="s">
        <v>19</v>
      </c>
      <c r="D66" s="185" t="s">
        <v>20</v>
      </c>
      <c r="E66" s="322" t="s">
        <v>102</v>
      </c>
      <c r="F66" s="416"/>
      <c r="G66" s="88">
        <v>99</v>
      </c>
      <c r="H66" s="418"/>
      <c r="I66" s="432"/>
      <c r="J66" s="34"/>
      <c r="K66" s="417"/>
      <c r="L66" s="41"/>
      <c r="M66" s="183">
        <v>14580</v>
      </c>
      <c r="N66" s="304">
        <v>7162</v>
      </c>
      <c r="O66" s="304">
        <v>7833</v>
      </c>
      <c r="P66" s="198">
        <f>(O66-N66)*M66/(M66+M67)</f>
        <v>664.8440366972477</v>
      </c>
      <c r="Q66" s="184"/>
      <c r="R66" s="184"/>
      <c r="S66" s="361">
        <f>1000*(Q66+R66+P66+R67+Q67+P67)/(M66+M67)</f>
        <v>45.599728168535506</v>
      </c>
    </row>
    <row r="67" spans="2:19" ht="90" customHeight="1" thickBot="1">
      <c r="B67" s="352"/>
      <c r="C67" s="442"/>
      <c r="D67" s="52" t="s">
        <v>132</v>
      </c>
      <c r="E67" s="323"/>
      <c r="F67" s="443"/>
      <c r="G67" s="88">
        <v>1</v>
      </c>
      <c r="H67" s="418"/>
      <c r="I67" s="432"/>
      <c r="J67" s="34"/>
      <c r="K67" s="417"/>
      <c r="L67" s="182"/>
      <c r="M67" s="186">
        <v>135</v>
      </c>
      <c r="N67" s="427"/>
      <c r="O67" s="427"/>
      <c r="P67" s="57"/>
      <c r="Q67" s="57"/>
      <c r="R67" s="199">
        <f>(O66-N66)*M67/(M66+M67)</f>
        <v>6.155963302752293</v>
      </c>
      <c r="S67" s="364"/>
    </row>
    <row r="68" spans="2:19" ht="90" customHeight="1">
      <c r="B68" s="352"/>
      <c r="C68" s="441" t="s">
        <v>110</v>
      </c>
      <c r="D68" s="51" t="s">
        <v>33</v>
      </c>
      <c r="E68" s="165" t="s">
        <v>86</v>
      </c>
      <c r="F68" s="150"/>
      <c r="G68" s="89">
        <v>6</v>
      </c>
      <c r="H68" s="418"/>
      <c r="I68" s="432"/>
      <c r="J68" s="10"/>
      <c r="K68" s="417"/>
      <c r="L68" s="399"/>
      <c r="M68" s="114">
        <v>1078.35</v>
      </c>
      <c r="N68" s="240">
        <v>128</v>
      </c>
      <c r="O68" s="240">
        <v>155</v>
      </c>
      <c r="P68" s="128">
        <f>O68-N68-P69</f>
        <v>22</v>
      </c>
      <c r="Q68" s="128"/>
      <c r="R68" s="56"/>
      <c r="S68" s="100">
        <f>1000*(R68+Q68+P68)/M68</f>
        <v>20.40153938888116</v>
      </c>
    </row>
    <row r="69" spans="2:19" ht="90" customHeight="1">
      <c r="B69" s="352"/>
      <c r="C69" s="441"/>
      <c r="D69" s="51" t="s">
        <v>131</v>
      </c>
      <c r="E69" s="165" t="s">
        <v>86</v>
      </c>
      <c r="F69" s="150"/>
      <c r="G69" s="89">
        <v>1</v>
      </c>
      <c r="H69" s="418"/>
      <c r="I69" s="432"/>
      <c r="J69" s="10"/>
      <c r="K69" s="417"/>
      <c r="L69" s="399"/>
      <c r="M69" s="114">
        <v>546.02</v>
      </c>
      <c r="N69" s="240">
        <v>227</v>
      </c>
      <c r="O69" s="240">
        <v>232</v>
      </c>
      <c r="P69" s="69">
        <f>O69-N69</f>
        <v>5</v>
      </c>
      <c r="Q69" s="128"/>
      <c r="R69" s="56"/>
      <c r="S69" s="100">
        <f aca="true" t="shared" si="5" ref="S69:S85">1000*(R69+Q69+P69)/M69</f>
        <v>9.157173729900004</v>
      </c>
    </row>
    <row r="70" spans="2:19" ht="90" customHeight="1">
      <c r="B70" s="352"/>
      <c r="C70" s="441"/>
      <c r="D70" s="60" t="s">
        <v>34</v>
      </c>
      <c r="E70" s="165" t="s">
        <v>109</v>
      </c>
      <c r="F70" s="151"/>
      <c r="G70" s="85">
        <v>7</v>
      </c>
      <c r="H70" s="418"/>
      <c r="I70" s="432"/>
      <c r="J70" s="10"/>
      <c r="K70" s="417"/>
      <c r="L70" s="399"/>
      <c r="M70" s="117">
        <v>1254.95</v>
      </c>
      <c r="N70" s="240">
        <v>258</v>
      </c>
      <c r="O70" s="240">
        <v>316</v>
      </c>
      <c r="P70" s="69">
        <f>O70-N70</f>
        <v>58</v>
      </c>
      <c r="Q70" s="69"/>
      <c r="R70" s="69"/>
      <c r="S70" s="100">
        <f t="shared" si="5"/>
        <v>46.21698075620542</v>
      </c>
    </row>
    <row r="71" spans="2:19" ht="90" customHeight="1">
      <c r="B71" s="352"/>
      <c r="C71" s="441"/>
      <c r="D71" s="60" t="s">
        <v>35</v>
      </c>
      <c r="E71" s="165" t="s">
        <v>109</v>
      </c>
      <c r="F71" s="151"/>
      <c r="G71" s="85">
        <v>9</v>
      </c>
      <c r="H71" s="418"/>
      <c r="I71" s="432"/>
      <c r="J71" s="10"/>
      <c r="K71" s="417"/>
      <c r="L71" s="399"/>
      <c r="M71" s="117">
        <v>1339.72</v>
      </c>
      <c r="N71" s="246">
        <v>74</v>
      </c>
      <c r="O71" s="246">
        <v>86</v>
      </c>
      <c r="P71" s="69">
        <f>O71-N71</f>
        <v>12</v>
      </c>
      <c r="Q71" s="69"/>
      <c r="R71" s="69"/>
      <c r="S71" s="100">
        <f t="shared" si="5"/>
        <v>8.957095512495147</v>
      </c>
    </row>
    <row r="72" spans="2:19" ht="90" customHeight="1">
      <c r="B72" s="352"/>
      <c r="C72" s="441"/>
      <c r="D72" s="60" t="s">
        <v>36</v>
      </c>
      <c r="E72" s="165" t="s">
        <v>109</v>
      </c>
      <c r="F72" s="151"/>
      <c r="G72" s="85">
        <v>9</v>
      </c>
      <c r="H72" s="418"/>
      <c r="I72" s="432"/>
      <c r="J72" s="10"/>
      <c r="K72" s="417"/>
      <c r="L72" s="399"/>
      <c r="M72" s="117">
        <v>1352.43</v>
      </c>
      <c r="N72" s="246">
        <v>137</v>
      </c>
      <c r="O72" s="246">
        <v>169</v>
      </c>
      <c r="P72" s="69">
        <f>O72-N72</f>
        <v>32</v>
      </c>
      <c r="Q72" s="69"/>
      <c r="R72" s="69"/>
      <c r="S72" s="100">
        <f t="shared" si="5"/>
        <v>23.66111369904542</v>
      </c>
    </row>
    <row r="73" spans="2:19" ht="90" customHeight="1">
      <c r="B73" s="352"/>
      <c r="C73" s="441"/>
      <c r="D73" s="60" t="s">
        <v>37</v>
      </c>
      <c r="E73" s="165" t="s">
        <v>109</v>
      </c>
      <c r="F73" s="151"/>
      <c r="G73" s="85">
        <v>9</v>
      </c>
      <c r="H73" s="418"/>
      <c r="I73" s="432"/>
      <c r="J73" s="10"/>
      <c r="K73" s="417"/>
      <c r="L73" s="399"/>
      <c r="M73" s="117">
        <v>1432.58</v>
      </c>
      <c r="N73" s="246">
        <v>224</v>
      </c>
      <c r="O73" s="246">
        <v>281</v>
      </c>
      <c r="P73" s="69">
        <f>O73-N73</f>
        <v>57</v>
      </c>
      <c r="Q73" s="69"/>
      <c r="R73" s="69"/>
      <c r="S73" s="100">
        <f t="shared" si="5"/>
        <v>39.78835387901548</v>
      </c>
    </row>
    <row r="74" spans="2:19" ht="90" customHeight="1">
      <c r="B74" s="352"/>
      <c r="C74" s="441"/>
      <c r="D74" s="181" t="s">
        <v>38</v>
      </c>
      <c r="E74" s="413" t="s">
        <v>109</v>
      </c>
      <c r="F74" s="429"/>
      <c r="G74" s="85">
        <v>8</v>
      </c>
      <c r="H74" s="418"/>
      <c r="I74" s="432"/>
      <c r="J74" s="10"/>
      <c r="K74" s="417"/>
      <c r="L74" s="399"/>
      <c r="M74" s="117">
        <v>1180.67</v>
      </c>
      <c r="N74" s="408">
        <v>237</v>
      </c>
      <c r="O74" s="408">
        <v>295</v>
      </c>
      <c r="P74" s="200">
        <f>M74*(O74-N74)/(M74+M75)</f>
        <v>50.356175867165724</v>
      </c>
      <c r="Q74" s="130"/>
      <c r="R74" s="69"/>
      <c r="S74" s="436">
        <f>1000*(R74+Q74+P74+P75+Q75+R75)/(M74+M75)</f>
        <v>42.65050849701078</v>
      </c>
    </row>
    <row r="75" spans="2:19" ht="90" customHeight="1">
      <c r="B75" s="352"/>
      <c r="C75" s="441"/>
      <c r="D75" s="181" t="s">
        <v>130</v>
      </c>
      <c r="E75" s="414"/>
      <c r="F75" s="430"/>
      <c r="G75" s="85">
        <v>1</v>
      </c>
      <c r="H75" s="418"/>
      <c r="I75" s="432"/>
      <c r="J75" s="10"/>
      <c r="K75" s="417"/>
      <c r="L75" s="399"/>
      <c r="M75" s="117">
        <v>179.22</v>
      </c>
      <c r="N75" s="428"/>
      <c r="O75" s="428"/>
      <c r="P75" s="130"/>
      <c r="Q75" s="130"/>
      <c r="R75" s="200">
        <f>M75*(O74-N74)/(M74+M75)</f>
        <v>7.643824132834273</v>
      </c>
      <c r="S75" s="437"/>
    </row>
    <row r="76" spans="2:19" ht="90" customHeight="1">
      <c r="B76" s="352"/>
      <c r="C76" s="441"/>
      <c r="D76" s="60" t="s">
        <v>39</v>
      </c>
      <c r="E76" s="165" t="s">
        <v>109</v>
      </c>
      <c r="F76" s="151"/>
      <c r="G76" s="85">
        <v>9</v>
      </c>
      <c r="H76" s="418"/>
      <c r="I76" s="432"/>
      <c r="J76" s="10"/>
      <c r="K76" s="417"/>
      <c r="L76" s="399"/>
      <c r="M76" s="117">
        <v>1380.67</v>
      </c>
      <c r="N76" s="240">
        <v>156</v>
      </c>
      <c r="O76" s="240">
        <v>190</v>
      </c>
      <c r="P76" s="69">
        <f aca="true" t="shared" si="6" ref="P76:P85">O76-N76</f>
        <v>34</v>
      </c>
      <c r="Q76" s="69"/>
      <c r="R76" s="69"/>
      <c r="S76" s="100">
        <f t="shared" si="5"/>
        <v>24.625725191392583</v>
      </c>
    </row>
    <row r="77" spans="2:19" ht="90" customHeight="1">
      <c r="B77" s="352"/>
      <c r="C77" s="441"/>
      <c r="D77" s="60" t="s">
        <v>129</v>
      </c>
      <c r="E77" s="165" t="s">
        <v>86</v>
      </c>
      <c r="F77" s="151"/>
      <c r="G77" s="85">
        <v>1</v>
      </c>
      <c r="H77" s="418"/>
      <c r="I77" s="432"/>
      <c r="J77" s="10"/>
      <c r="K77" s="417"/>
      <c r="L77" s="399"/>
      <c r="M77" s="117">
        <v>303</v>
      </c>
      <c r="N77" s="240">
        <v>107</v>
      </c>
      <c r="O77" s="240">
        <v>114</v>
      </c>
      <c r="P77" s="69">
        <f>SUM(O77-N77)</f>
        <v>7</v>
      </c>
      <c r="Q77" s="69"/>
      <c r="R77" s="69"/>
      <c r="S77" s="100">
        <f t="shared" si="5"/>
        <v>23.102310231023104</v>
      </c>
    </row>
    <row r="78" spans="2:19" ht="90" customHeight="1">
      <c r="B78" s="352"/>
      <c r="C78" s="441"/>
      <c r="D78" s="60" t="s">
        <v>40</v>
      </c>
      <c r="E78" s="165" t="s">
        <v>86</v>
      </c>
      <c r="F78" s="146"/>
      <c r="G78" s="85">
        <v>8</v>
      </c>
      <c r="H78" s="418"/>
      <c r="I78" s="432"/>
      <c r="J78" s="10"/>
      <c r="K78" s="417"/>
      <c r="L78" s="399"/>
      <c r="M78" s="117">
        <v>1230.85</v>
      </c>
      <c r="N78" s="246">
        <v>192</v>
      </c>
      <c r="O78" s="246">
        <v>234</v>
      </c>
      <c r="P78" s="130">
        <f>SUM(O78-N78-P77)</f>
        <v>35</v>
      </c>
      <c r="Q78" s="130"/>
      <c r="R78" s="69"/>
      <c r="S78" s="100">
        <f t="shared" si="5"/>
        <v>28.435633911524558</v>
      </c>
    </row>
    <row r="79" spans="2:19" ht="90" customHeight="1">
      <c r="B79" s="352"/>
      <c r="C79" s="441"/>
      <c r="D79" s="60" t="s">
        <v>41</v>
      </c>
      <c r="E79" s="165" t="s">
        <v>86</v>
      </c>
      <c r="F79" s="146"/>
      <c r="G79" s="85">
        <v>9</v>
      </c>
      <c r="H79" s="418"/>
      <c r="I79" s="432"/>
      <c r="J79" s="10"/>
      <c r="K79" s="417"/>
      <c r="L79" s="399"/>
      <c r="M79" s="117">
        <v>1372.67</v>
      </c>
      <c r="N79" s="240">
        <v>273</v>
      </c>
      <c r="O79" s="240">
        <v>337</v>
      </c>
      <c r="P79" s="69">
        <f t="shared" si="6"/>
        <v>64</v>
      </c>
      <c r="Q79" s="69"/>
      <c r="R79" s="69"/>
      <c r="S79" s="100">
        <f t="shared" si="5"/>
        <v>46.624461815294275</v>
      </c>
    </row>
    <row r="80" spans="2:19" ht="90" customHeight="1">
      <c r="B80" s="352"/>
      <c r="C80" s="441"/>
      <c r="D80" s="60" t="s">
        <v>42</v>
      </c>
      <c r="E80" s="165" t="s">
        <v>109</v>
      </c>
      <c r="F80" s="151"/>
      <c r="G80" s="85">
        <v>10</v>
      </c>
      <c r="H80" s="418"/>
      <c r="I80" s="432"/>
      <c r="J80" s="10"/>
      <c r="K80" s="417"/>
      <c r="L80" s="399"/>
      <c r="M80" s="117">
        <v>1563.35</v>
      </c>
      <c r="N80" s="246">
        <v>238</v>
      </c>
      <c r="O80" s="246">
        <v>289</v>
      </c>
      <c r="P80" s="69">
        <f t="shared" si="6"/>
        <v>51</v>
      </c>
      <c r="Q80" s="69"/>
      <c r="R80" s="69"/>
      <c r="S80" s="100">
        <f t="shared" si="5"/>
        <v>32.62225349409921</v>
      </c>
    </row>
    <row r="81" spans="2:19" ht="90" customHeight="1">
      <c r="B81" s="352"/>
      <c r="C81" s="441"/>
      <c r="D81" s="60" t="s">
        <v>43</v>
      </c>
      <c r="E81" s="165" t="s">
        <v>109</v>
      </c>
      <c r="F81" s="151"/>
      <c r="G81" s="85">
        <v>9</v>
      </c>
      <c r="H81" s="418"/>
      <c r="I81" s="432"/>
      <c r="J81" s="10"/>
      <c r="K81" s="417"/>
      <c r="L81" s="399"/>
      <c r="M81" s="117">
        <v>1480.88</v>
      </c>
      <c r="N81" s="246">
        <v>137</v>
      </c>
      <c r="O81" s="246">
        <v>168</v>
      </c>
      <c r="P81" s="69">
        <f t="shared" si="6"/>
        <v>31</v>
      </c>
      <c r="Q81" s="69"/>
      <c r="R81" s="69"/>
      <c r="S81" s="100">
        <f t="shared" si="5"/>
        <v>20.93349900059424</v>
      </c>
    </row>
    <row r="82" spans="2:19" ht="90" customHeight="1">
      <c r="B82" s="352"/>
      <c r="C82" s="441"/>
      <c r="D82" s="60" t="s">
        <v>44</v>
      </c>
      <c r="E82" s="165" t="s">
        <v>109</v>
      </c>
      <c r="F82" s="151"/>
      <c r="G82" s="85">
        <v>9</v>
      </c>
      <c r="H82" s="418"/>
      <c r="I82" s="432"/>
      <c r="J82" s="10"/>
      <c r="K82" s="417"/>
      <c r="L82" s="399"/>
      <c r="M82" s="117">
        <v>1371.13</v>
      </c>
      <c r="N82" s="246">
        <v>230</v>
      </c>
      <c r="O82" s="246">
        <v>283</v>
      </c>
      <c r="P82" s="69">
        <f t="shared" si="6"/>
        <v>53</v>
      </c>
      <c r="Q82" s="69"/>
      <c r="R82" s="69"/>
      <c r="S82" s="100">
        <f t="shared" si="5"/>
        <v>38.654248685390876</v>
      </c>
    </row>
    <row r="83" spans="2:19" ht="90" customHeight="1">
      <c r="B83" s="352"/>
      <c r="C83" s="441"/>
      <c r="D83" s="60" t="s">
        <v>45</v>
      </c>
      <c r="E83" s="165" t="s">
        <v>109</v>
      </c>
      <c r="F83" s="151"/>
      <c r="G83" s="85">
        <v>9</v>
      </c>
      <c r="H83" s="418"/>
      <c r="I83" s="432"/>
      <c r="J83" s="10"/>
      <c r="K83" s="417"/>
      <c r="L83" s="399"/>
      <c r="M83" s="117">
        <v>1377.64</v>
      </c>
      <c r="N83" s="246">
        <v>144</v>
      </c>
      <c r="O83" s="246">
        <v>176</v>
      </c>
      <c r="P83" s="69">
        <f t="shared" si="6"/>
        <v>32</v>
      </c>
      <c r="Q83" s="69"/>
      <c r="R83" s="69"/>
      <c r="S83" s="100">
        <f t="shared" si="5"/>
        <v>23.228129264539355</v>
      </c>
    </row>
    <row r="84" spans="2:19" ht="90" customHeight="1">
      <c r="B84" s="352"/>
      <c r="C84" s="441"/>
      <c r="D84" s="60" t="s">
        <v>46</v>
      </c>
      <c r="E84" s="165" t="s">
        <v>109</v>
      </c>
      <c r="F84" s="151"/>
      <c r="G84" s="85">
        <v>9</v>
      </c>
      <c r="H84" s="418"/>
      <c r="I84" s="432"/>
      <c r="J84" s="10"/>
      <c r="K84" s="417"/>
      <c r="L84" s="399"/>
      <c r="M84" s="117">
        <v>1400.08</v>
      </c>
      <c r="N84" s="246">
        <v>127</v>
      </c>
      <c r="O84" s="246">
        <v>156</v>
      </c>
      <c r="P84" s="69">
        <f t="shared" si="6"/>
        <v>29</v>
      </c>
      <c r="Q84" s="69"/>
      <c r="R84" s="69"/>
      <c r="S84" s="100">
        <f t="shared" si="5"/>
        <v>20.713102108450947</v>
      </c>
    </row>
    <row r="85" spans="2:19" ht="90" customHeight="1" thickBot="1">
      <c r="B85" s="352"/>
      <c r="C85" s="441"/>
      <c r="D85" s="53" t="s">
        <v>47</v>
      </c>
      <c r="E85" s="177" t="s">
        <v>109</v>
      </c>
      <c r="F85" s="152"/>
      <c r="G85" s="86">
        <v>9</v>
      </c>
      <c r="H85" s="418"/>
      <c r="I85" s="432"/>
      <c r="J85" s="235"/>
      <c r="K85" s="417"/>
      <c r="L85" s="399"/>
      <c r="M85" s="236">
        <v>1455.14</v>
      </c>
      <c r="N85" s="249">
        <v>177</v>
      </c>
      <c r="O85" s="249">
        <v>217</v>
      </c>
      <c r="P85" s="70">
        <f t="shared" si="6"/>
        <v>40</v>
      </c>
      <c r="Q85" s="70"/>
      <c r="R85" s="70"/>
      <c r="S85" s="100">
        <f t="shared" si="5"/>
        <v>27.48876396772819</v>
      </c>
    </row>
    <row r="86" spans="2:19" ht="90" customHeight="1" thickBot="1" thickTop="1">
      <c r="B86" s="352"/>
      <c r="C86" s="441"/>
      <c r="D86" s="382" t="s">
        <v>72</v>
      </c>
      <c r="E86" s="383"/>
      <c r="F86" s="148"/>
      <c r="G86" s="224">
        <f>SUM(G68:G85)-G75</f>
        <v>131</v>
      </c>
      <c r="H86" s="418"/>
      <c r="I86" s="432"/>
      <c r="J86" s="358">
        <f>SUM(M68:M85)</f>
        <v>21299.35</v>
      </c>
      <c r="K86" s="359"/>
      <c r="L86" s="359"/>
      <c r="M86" s="360"/>
      <c r="N86" s="80">
        <f>SUM(N68:N85)</f>
        <v>3066</v>
      </c>
      <c r="O86" s="80">
        <f>SUM(O68:O85)</f>
        <v>3698</v>
      </c>
      <c r="P86" s="79">
        <f>SUM(P68:P85)</f>
        <v>612.3561758671657</v>
      </c>
      <c r="Q86" s="281"/>
      <c r="R86" s="282"/>
      <c r="S86" s="104"/>
    </row>
    <row r="87" spans="2:19" ht="90" customHeight="1">
      <c r="B87" s="352"/>
      <c r="C87" s="373" t="s">
        <v>21</v>
      </c>
      <c r="D87" s="68" t="s">
        <v>22</v>
      </c>
      <c r="E87" s="160" t="s">
        <v>102</v>
      </c>
      <c r="F87" s="145"/>
      <c r="G87" s="90">
        <v>60</v>
      </c>
      <c r="H87" s="418"/>
      <c r="I87" s="432"/>
      <c r="J87" s="399"/>
      <c r="K87" s="417"/>
      <c r="L87" s="33"/>
      <c r="M87" s="120">
        <v>8252.8</v>
      </c>
      <c r="N87" s="396">
        <v>2317</v>
      </c>
      <c r="O87" s="396">
        <v>2599</v>
      </c>
      <c r="P87" s="192">
        <f>SUM((O87-N87)/8305.8*M87)</f>
        <v>280.2005345662067</v>
      </c>
      <c r="Q87" s="58"/>
      <c r="R87" s="58"/>
      <c r="S87" s="100">
        <f aca="true" t="shared" si="7" ref="S87:S95">1000*(R87+Q87+P87)/M87</f>
        <v>33.95217799609912</v>
      </c>
    </row>
    <row r="88" spans="2:19" ht="78.75" customHeight="1">
      <c r="B88" s="352"/>
      <c r="C88" s="319"/>
      <c r="D88" s="60" t="s">
        <v>53</v>
      </c>
      <c r="E88" s="165"/>
      <c r="F88" s="146"/>
      <c r="G88" s="85"/>
      <c r="H88" s="418"/>
      <c r="I88" s="432"/>
      <c r="J88" s="399"/>
      <c r="K88" s="417"/>
      <c r="L88" s="10"/>
      <c r="M88" s="121">
        <v>53</v>
      </c>
      <c r="N88" s="397"/>
      <c r="O88" s="397"/>
      <c r="P88" s="64"/>
      <c r="Q88" s="64"/>
      <c r="R88" s="226">
        <f>SUM((O87-N87)/8305.8*M88)</f>
        <v>1.799465433793253</v>
      </c>
      <c r="S88" s="100">
        <f t="shared" si="7"/>
        <v>33.95217799609911</v>
      </c>
    </row>
    <row r="89" spans="2:19" ht="75" customHeight="1" thickBot="1">
      <c r="B89" s="352"/>
      <c r="C89" s="320"/>
      <c r="D89" s="52" t="s">
        <v>28</v>
      </c>
      <c r="E89" s="159"/>
      <c r="F89" s="153"/>
      <c r="G89" s="91"/>
      <c r="H89" s="418"/>
      <c r="I89" s="432"/>
      <c r="J89" s="415"/>
      <c r="K89" s="417"/>
      <c r="L89" s="36"/>
      <c r="M89" s="122">
        <v>0</v>
      </c>
      <c r="N89" s="398"/>
      <c r="O89" s="398"/>
      <c r="P89" s="74"/>
      <c r="Q89" s="74"/>
      <c r="R89" s="199">
        <f>SUM((O87-N87)/8358.8*M89)</f>
        <v>0</v>
      </c>
      <c r="S89" s="101">
        <v>0</v>
      </c>
    </row>
    <row r="90" spans="2:19" ht="90" customHeight="1" thickBot="1">
      <c r="B90" s="352"/>
      <c r="C90" s="438" t="s">
        <v>23</v>
      </c>
      <c r="D90" s="68" t="s">
        <v>101</v>
      </c>
      <c r="E90" s="160" t="s">
        <v>102</v>
      </c>
      <c r="F90" s="204" t="s">
        <v>116</v>
      </c>
      <c r="G90" s="90">
        <v>83</v>
      </c>
      <c r="H90" s="418"/>
      <c r="I90" s="432"/>
      <c r="J90" s="197"/>
      <c r="K90" s="417"/>
      <c r="L90" s="41"/>
      <c r="M90" s="205">
        <f>11793.04-M92</f>
        <v>11629.880000000001</v>
      </c>
      <c r="N90" s="396">
        <v>3474</v>
      </c>
      <c r="O90" s="396">
        <v>3803</v>
      </c>
      <c r="P90" s="218">
        <f>((O90-N90)/(M90+M91+M92))*M90</f>
        <v>320.96825910795326</v>
      </c>
      <c r="Q90" s="207"/>
      <c r="R90" s="207"/>
      <c r="S90" s="206">
        <f t="shared" si="7"/>
        <v>27.598587354981586</v>
      </c>
    </row>
    <row r="91" spans="2:19" ht="83.25" customHeight="1" thickBot="1">
      <c r="B91" s="352"/>
      <c r="C91" s="439"/>
      <c r="D91" s="60" t="s">
        <v>128</v>
      </c>
      <c r="E91" s="165" t="s">
        <v>102</v>
      </c>
      <c r="F91" s="232" t="s">
        <v>116</v>
      </c>
      <c r="G91" s="231">
        <v>1</v>
      </c>
      <c r="H91" s="418"/>
      <c r="I91" s="432"/>
      <c r="J91" s="10"/>
      <c r="K91" s="417"/>
      <c r="L91" s="40"/>
      <c r="M91" s="121">
        <v>127.86</v>
      </c>
      <c r="N91" s="397"/>
      <c r="O91" s="397"/>
      <c r="P91" s="64"/>
      <c r="Q91" s="64"/>
      <c r="R91" s="226">
        <f>(O90-N90)/(M90+M91+M92)*M91</f>
        <v>3.5287553792079454</v>
      </c>
      <c r="S91" s="100">
        <f t="shared" si="7"/>
        <v>27.598587354981582</v>
      </c>
    </row>
    <row r="92" spans="2:19" ht="83.25" customHeight="1" thickBot="1">
      <c r="B92" s="352"/>
      <c r="C92" s="440"/>
      <c r="D92" s="60" t="s">
        <v>127</v>
      </c>
      <c r="E92" s="165" t="s">
        <v>102</v>
      </c>
      <c r="F92" s="232" t="s">
        <v>116</v>
      </c>
      <c r="G92" s="88">
        <v>1</v>
      </c>
      <c r="H92" s="418"/>
      <c r="I92" s="432"/>
      <c r="J92" s="10"/>
      <c r="K92" s="417"/>
      <c r="L92" s="40"/>
      <c r="M92" s="230">
        <v>163.16</v>
      </c>
      <c r="N92" s="398"/>
      <c r="O92" s="398"/>
      <c r="P92" s="127"/>
      <c r="Q92" s="127"/>
      <c r="R92" s="225">
        <f>(O90-N90)/(M91+M92+M90)*M92</f>
        <v>4.502985512838795</v>
      </c>
      <c r="S92" s="101">
        <f t="shared" si="7"/>
        <v>27.598587354981586</v>
      </c>
    </row>
    <row r="93" spans="2:19" ht="75" customHeight="1" thickBot="1">
      <c r="B93" s="352"/>
      <c r="C93" s="47" t="s">
        <v>24</v>
      </c>
      <c r="D93" s="48"/>
      <c r="E93" s="158" t="s">
        <v>102</v>
      </c>
      <c r="F93" s="149"/>
      <c r="G93" s="87">
        <v>70</v>
      </c>
      <c r="H93" s="418"/>
      <c r="I93" s="432"/>
      <c r="J93" s="34"/>
      <c r="K93" s="417"/>
      <c r="L93" s="39"/>
      <c r="M93" s="123">
        <v>10017.91</v>
      </c>
      <c r="N93" s="250">
        <v>4124</v>
      </c>
      <c r="O93" s="250">
        <v>4467</v>
      </c>
      <c r="P93" s="55">
        <f>O93-N93</f>
        <v>343</v>
      </c>
      <c r="Q93" s="55"/>
      <c r="R93" s="55"/>
      <c r="S93" s="99">
        <f t="shared" si="7"/>
        <v>34.23867852675858</v>
      </c>
    </row>
    <row r="94" spans="2:19" s="23" customFormat="1" ht="90" customHeight="1" thickBot="1">
      <c r="B94" s="352"/>
      <c r="C94" s="446" t="s">
        <v>120</v>
      </c>
      <c r="D94" s="447"/>
      <c r="E94" s="219" t="s">
        <v>86</v>
      </c>
      <c r="F94" s="220"/>
      <c r="G94" s="168"/>
      <c r="H94" s="418"/>
      <c r="I94" s="432"/>
      <c r="J94" s="26"/>
      <c r="K94" s="417"/>
      <c r="L94" s="221"/>
      <c r="M94" s="222">
        <v>21011</v>
      </c>
      <c r="N94" s="251">
        <v>2440</v>
      </c>
      <c r="O94" s="251">
        <v>2845</v>
      </c>
      <c r="P94" s="75"/>
      <c r="Q94" s="127">
        <f>O94-N94</f>
        <v>405</v>
      </c>
      <c r="R94" s="127"/>
      <c r="S94" s="223">
        <f t="shared" si="7"/>
        <v>19.27561753367284</v>
      </c>
    </row>
    <row r="95" spans="2:19" ht="75" customHeight="1" thickBot="1">
      <c r="B95" s="352"/>
      <c r="C95" s="283" t="s">
        <v>104</v>
      </c>
      <c r="D95" s="284"/>
      <c r="E95" s="175" t="s">
        <v>86</v>
      </c>
      <c r="F95" s="154"/>
      <c r="G95" s="93"/>
      <c r="H95" s="418"/>
      <c r="I95" s="432"/>
      <c r="J95" s="35"/>
      <c r="K95" s="426"/>
      <c r="L95" s="38"/>
      <c r="M95" s="124">
        <v>2156</v>
      </c>
      <c r="N95" s="252">
        <v>628</v>
      </c>
      <c r="O95" s="252">
        <v>684</v>
      </c>
      <c r="P95" s="76"/>
      <c r="Q95" s="76">
        <f>O95-N95</f>
        <v>56</v>
      </c>
      <c r="R95" s="76"/>
      <c r="S95" s="179">
        <f t="shared" si="7"/>
        <v>25.974025974025974</v>
      </c>
    </row>
    <row r="96" spans="2:19" ht="97.5" customHeight="1" thickBot="1" thickTop="1">
      <c r="B96" s="353"/>
      <c r="C96" s="444" t="s">
        <v>94</v>
      </c>
      <c r="D96" s="264"/>
      <c r="E96" s="264"/>
      <c r="F96" s="125"/>
      <c r="G96" s="94">
        <f>G60+G63+G64+G65+G66+G86+G87+G91+G93+G90</f>
        <v>700</v>
      </c>
      <c r="H96" s="418"/>
      <c r="I96" s="433"/>
      <c r="J96" s="423">
        <f>SUM(M49:M95)</f>
        <v>127439.94000000002</v>
      </c>
      <c r="K96" s="424"/>
      <c r="L96" s="424"/>
      <c r="M96" s="425"/>
      <c r="N96" s="77">
        <f>N48+N60+N63+N64+N65+N66+N86+N87+N90+N93+N94+N95</f>
        <v>31852</v>
      </c>
      <c r="O96" s="77">
        <f>O48+O60+O63+O64+O65+O66+O86+O87+O90+O93+O94+O95</f>
        <v>35659</v>
      </c>
      <c r="P96" s="77">
        <f>P48+P60+P63+P64+P65+P66+P86+P87+P90+P93+P94+P95</f>
        <v>3305.702339571907</v>
      </c>
      <c r="Q96" s="77">
        <f>Q95+Q94</f>
        <v>461</v>
      </c>
      <c r="R96" s="77">
        <f>R50+R67+R75+R88+R89+R91+R92</f>
        <v>29.297660428093227</v>
      </c>
      <c r="S96" s="102">
        <f>1000*(P96+Q96+R96)/J96</f>
        <v>29.78658025105787</v>
      </c>
    </row>
    <row r="97" spans="2:19" ht="12.75" customHeight="1">
      <c r="B97" s="354"/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</row>
    <row r="98" spans="2:19" s="23" customFormat="1" ht="8.25" customHeight="1">
      <c r="B98" s="16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3:12" ht="33.75" customHeight="1">
      <c r="C99" s="11"/>
      <c r="D99" s="12"/>
      <c r="E99" s="12"/>
      <c r="F99" s="12"/>
      <c r="G99" s="11"/>
      <c r="H99" s="13"/>
      <c r="I99" s="13"/>
      <c r="J99" s="13"/>
      <c r="K99" s="13"/>
      <c r="L99" s="13"/>
    </row>
    <row r="100" spans="3:12" ht="27">
      <c r="C100" s="11"/>
      <c r="D100" s="12"/>
      <c r="E100" s="12"/>
      <c r="F100" s="12"/>
      <c r="G100" s="11"/>
      <c r="H100" s="13"/>
      <c r="I100" s="13"/>
      <c r="J100" s="13"/>
      <c r="K100" s="13"/>
      <c r="L100" s="13"/>
    </row>
  </sheetData>
  <sheetProtection/>
  <mergeCells count="112">
    <mergeCell ref="D86:E86"/>
    <mergeCell ref="C61:C63"/>
    <mergeCell ref="C66:C67"/>
    <mergeCell ref="E66:E67"/>
    <mergeCell ref="F66:F67"/>
    <mergeCell ref="C96:E96"/>
    <mergeCell ref="D63:E63"/>
    <mergeCell ref="C94:D94"/>
    <mergeCell ref="E48:F48"/>
    <mergeCell ref="N66:N67"/>
    <mergeCell ref="N74:N75"/>
    <mergeCell ref="S74:S75"/>
    <mergeCell ref="C90:C92"/>
    <mergeCell ref="N90:N92"/>
    <mergeCell ref="O90:O92"/>
    <mergeCell ref="Q63:R63"/>
    <mergeCell ref="C87:C89"/>
    <mergeCell ref="C68:C86"/>
    <mergeCell ref="Q86:R86"/>
    <mergeCell ref="J96:M96"/>
    <mergeCell ref="J63:M63"/>
    <mergeCell ref="K48:K59"/>
    <mergeCell ref="O66:O67"/>
    <mergeCell ref="O74:O75"/>
    <mergeCell ref="K87:K95"/>
    <mergeCell ref="J60:M60"/>
    <mergeCell ref="N49:N50"/>
    <mergeCell ref="E74:E75"/>
    <mergeCell ref="J87:J89"/>
    <mergeCell ref="K64:K85"/>
    <mergeCell ref="H48:H96"/>
    <mergeCell ref="L61:L62"/>
    <mergeCell ref="J48:J59"/>
    <mergeCell ref="F74:F75"/>
    <mergeCell ref="I48:I96"/>
    <mergeCell ref="C49:C60"/>
    <mergeCell ref="C44:E44"/>
    <mergeCell ref="O87:O89"/>
    <mergeCell ref="L68:L85"/>
    <mergeCell ref="N87:N89"/>
    <mergeCell ref="B26:S26"/>
    <mergeCell ref="C27:S27"/>
    <mergeCell ref="B27:B45"/>
    <mergeCell ref="C47:S47"/>
    <mergeCell ref="O49:O50"/>
    <mergeCell ref="C24:E24"/>
    <mergeCell ref="C45:S45"/>
    <mergeCell ref="K14:K23"/>
    <mergeCell ref="N18:N19"/>
    <mergeCell ref="S35:S40"/>
    <mergeCell ref="N35:N40"/>
    <mergeCell ref="K28:K43"/>
    <mergeCell ref="S22:S23"/>
    <mergeCell ref="C97:S97"/>
    <mergeCell ref="S66:S67"/>
    <mergeCell ref="K61:K62"/>
    <mergeCell ref="S8:S9"/>
    <mergeCell ref="B11:S11"/>
    <mergeCell ref="E8:E10"/>
    <mergeCell ref="C18:C19"/>
    <mergeCell ref="Q8:R8"/>
    <mergeCell ref="P8:P9"/>
    <mergeCell ref="P40:R40"/>
    <mergeCell ref="J41:J43"/>
    <mergeCell ref="C43:D43"/>
    <mergeCell ref="H28:H44"/>
    <mergeCell ref="J35:J40"/>
    <mergeCell ref="B47:B97"/>
    <mergeCell ref="L35:L40"/>
    <mergeCell ref="I28:I44"/>
    <mergeCell ref="J86:M86"/>
    <mergeCell ref="D60:E60"/>
    <mergeCell ref="D40:E40"/>
    <mergeCell ref="C35:C40"/>
    <mergeCell ref="B5:S5"/>
    <mergeCell ref="D6:D7"/>
    <mergeCell ref="B12:S12"/>
    <mergeCell ref="J24:M24"/>
    <mergeCell ref="O22:O23"/>
    <mergeCell ref="L20:L21"/>
    <mergeCell ref="J22:J23"/>
    <mergeCell ref="O35:O40"/>
    <mergeCell ref="N22:N23"/>
    <mergeCell ref="H14:H24"/>
    <mergeCell ref="N6:R6"/>
    <mergeCell ref="G8:G9"/>
    <mergeCell ref="B6:C10"/>
    <mergeCell ref="C20:C21"/>
    <mergeCell ref="C22:C23"/>
    <mergeCell ref="E18:E19"/>
    <mergeCell ref="O18:O19"/>
    <mergeCell ref="J20:J21"/>
    <mergeCell ref="Q60:R60"/>
    <mergeCell ref="C95:D95"/>
    <mergeCell ref="C25:S25"/>
    <mergeCell ref="N7:O7"/>
    <mergeCell ref="P7:R7"/>
    <mergeCell ref="B13:B24"/>
    <mergeCell ref="C13:S13"/>
    <mergeCell ref="I14:I24"/>
    <mergeCell ref="J44:M44"/>
    <mergeCell ref="L22:L23"/>
    <mergeCell ref="B4:S4"/>
    <mergeCell ref="S6:S7"/>
    <mergeCell ref="B3:P3"/>
    <mergeCell ref="E6:M7"/>
    <mergeCell ref="D8:D10"/>
    <mergeCell ref="H8:M9"/>
    <mergeCell ref="H10:M10"/>
    <mergeCell ref="O8:O9"/>
    <mergeCell ref="F8:F10"/>
    <mergeCell ref="N8:N9"/>
  </mergeCells>
  <printOptions/>
  <pageMargins left="0.2362204724409449" right="0.21" top="0.15748031496062992" bottom="0.11811023622047245" header="0.03937007874015748" footer="0.07874015748031496"/>
  <pageSetup fitToHeight="1" fitToWidth="1" horizontalDpi="1200" verticalDpi="12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 Krisztian</dc:creator>
  <cp:keywords/>
  <dc:description/>
  <cp:lastModifiedBy>Répánszky Júlia</cp:lastModifiedBy>
  <cp:lastPrinted>2018-11-15T11:27:08Z</cp:lastPrinted>
  <dcterms:created xsi:type="dcterms:W3CDTF">2001-01-29T17:32:50Z</dcterms:created>
  <dcterms:modified xsi:type="dcterms:W3CDTF">2018-11-15T11:55:15Z</dcterms:modified>
  <cp:category/>
  <cp:version/>
  <cp:contentType/>
  <cp:contentStatus/>
</cp:coreProperties>
</file>